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ministratore\Desktop\"/>
    </mc:Choice>
  </mc:AlternateContent>
  <xr:revisionPtr revIDLastSave="0" documentId="8_{8FDFBA29-7084-4756-ACC4-46E09CA4054F}" xr6:coauthVersionLast="47" xr6:coauthVersionMax="47" xr10:uidLastSave="{00000000-0000-0000-0000-000000000000}"/>
  <bookViews>
    <workbookView xWindow="-120" yWindow="-120" windowWidth="25440" windowHeight="15390" activeTab="4" xr2:uid="{762643C3-7DB3-4ED2-AD68-AB6DFBC7ECF5}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4" l="1"/>
  <c r="I68" i="4"/>
  <c r="J53" i="4"/>
  <c r="C45" i="4"/>
  <c r="C37" i="4"/>
  <c r="G20" i="4"/>
  <c r="I9" i="4"/>
  <c r="J7" i="4" s="1"/>
  <c r="C44" i="3"/>
  <c r="H31" i="3"/>
  <c r="D31" i="3"/>
  <c r="E31" i="3"/>
  <c r="F31" i="3"/>
  <c r="G31" i="3"/>
  <c r="C31" i="3"/>
  <c r="H30" i="3"/>
  <c r="H29" i="3"/>
  <c r="G29" i="3"/>
  <c r="F29" i="3"/>
  <c r="E29" i="3"/>
  <c r="D29" i="3"/>
  <c r="C29" i="3"/>
  <c r="F18" i="3"/>
  <c r="C9" i="3"/>
  <c r="C34" i="2"/>
  <c r="C36" i="2"/>
  <c r="E18" i="2"/>
  <c r="C26" i="2"/>
  <c r="C25" i="2"/>
  <c r="C24" i="2"/>
  <c r="C23" i="2"/>
  <c r="C21" i="2"/>
  <c r="E15" i="2"/>
  <c r="E14" i="2"/>
  <c r="E13" i="2"/>
  <c r="F56" i="1"/>
  <c r="F54" i="1"/>
  <c r="F53" i="1"/>
  <c r="F46" i="1"/>
  <c r="K45" i="1"/>
  <c r="K44" i="1"/>
  <c r="K43" i="1"/>
  <c r="K42" i="1"/>
  <c r="F43" i="1"/>
  <c r="F42" i="1"/>
  <c r="F41" i="1"/>
  <c r="F40" i="1"/>
  <c r="I16" i="1"/>
  <c r="I15" i="1"/>
  <c r="E32" i="1"/>
  <c r="E26" i="1"/>
  <c r="F25" i="1"/>
  <c r="F26" i="1" s="1"/>
  <c r="E25" i="1"/>
  <c r="I10" i="1"/>
  <c r="E29" i="1" l="1"/>
  <c r="F29" i="1"/>
  <c r="F32" i="1" s="1"/>
</calcChain>
</file>

<file path=xl/sharedStrings.xml><?xml version="1.0" encoding="utf-8"?>
<sst xmlns="http://schemas.openxmlformats.org/spreadsheetml/2006/main" count="188" uniqueCount="158">
  <si>
    <t>ESERCIZIO 1</t>
  </si>
  <si>
    <t>VALUTAZIONE DELLA PARTECIPAZIONE CON IL METODO DEL PATRIMONIO NETTO</t>
  </si>
  <si>
    <t>SCOMPOSIZIONE DEL PREZZO</t>
  </si>
  <si>
    <t xml:space="preserve">a) quota di PNC di pertinenza della partecipante </t>
  </si>
  <si>
    <t>400000*60%</t>
  </si>
  <si>
    <t xml:space="preserve">Valore Corrente </t>
  </si>
  <si>
    <t>Valore netto contabile</t>
  </si>
  <si>
    <t>Impianti</t>
  </si>
  <si>
    <t>Brevetto</t>
  </si>
  <si>
    <t>Plusvalenza lorda</t>
  </si>
  <si>
    <t>Effetto fiscale 25%</t>
  </si>
  <si>
    <t>(500000*25%)</t>
  </si>
  <si>
    <t>(450000*25%)</t>
  </si>
  <si>
    <t>Plusvalenza netta</t>
  </si>
  <si>
    <t>(500000-125000)</t>
  </si>
  <si>
    <t>(450000-112500)</t>
  </si>
  <si>
    <t>Plusvalenza di pertinenza</t>
  </si>
  <si>
    <t>(375000*60%)</t>
  </si>
  <si>
    <t>(337500*60%)</t>
  </si>
  <si>
    <t>b) plusvalori latenti</t>
  </si>
  <si>
    <t>impianti</t>
  </si>
  <si>
    <t>brevetto</t>
  </si>
  <si>
    <t>Patrimonio netto a valori correnti</t>
  </si>
  <si>
    <t>Prezzo pagato per l'acquisto</t>
  </si>
  <si>
    <t>c) Avviamento</t>
  </si>
  <si>
    <t>DETERMINAZIONE DELL'UTILE/PERDITA RETTIFICATO/A</t>
  </si>
  <si>
    <t xml:space="preserve">Utile d'esercizio </t>
  </si>
  <si>
    <t>300000*60%</t>
  </si>
  <si>
    <t>amm.to plusvalore netto impianti</t>
  </si>
  <si>
    <t>225000/10</t>
  </si>
  <si>
    <t>-</t>
  </si>
  <si>
    <t>amm.to plusvalore brevetto</t>
  </si>
  <si>
    <t>amm.to avviamento</t>
  </si>
  <si>
    <t>202500/2</t>
  </si>
  <si>
    <t>232500/5</t>
  </si>
  <si>
    <t>Storno utile netto infragruppo non realizzato</t>
  </si>
  <si>
    <t>n. di pezzi in rimanenza</t>
  </si>
  <si>
    <t>Margine lordo unitario (16-13)</t>
  </si>
  <si>
    <t>Margine lordo totale</t>
  </si>
  <si>
    <t>(1500*3)</t>
  </si>
  <si>
    <t>Effetto fiscale 30%</t>
  </si>
  <si>
    <t>(4500*30%)</t>
  </si>
  <si>
    <t>Margine netto totale</t>
  </si>
  <si>
    <t>(4500-1350)</t>
  </si>
  <si>
    <t>Utile infragruppo di pertinenza</t>
  </si>
  <si>
    <t>(3150*60%)</t>
  </si>
  <si>
    <t>Utile rettificato</t>
  </si>
  <si>
    <t>VALORE DELLA PARTECIPAZIONE AL 31/12/20X1</t>
  </si>
  <si>
    <t>Valore partecipazione iniziale 1/1/20x1</t>
  </si>
  <si>
    <t>Aumento di capitale a pagamento</t>
  </si>
  <si>
    <t>(60000*60%)</t>
  </si>
  <si>
    <t>Distribuzione dei dividendi</t>
  </si>
  <si>
    <t>(12000*60%)</t>
  </si>
  <si>
    <t>Valore della partecipazione al 31/12/X1</t>
  </si>
  <si>
    <t>ESERCIZIO 2</t>
  </si>
  <si>
    <t>VALUTAZIONE DELLA PARTECIPAZIONE AL 31/12/X2 CON IL METODO DEL PATRIMONIO NETTO</t>
  </si>
  <si>
    <t xml:space="preserve">Valore iniziale </t>
  </si>
  <si>
    <t>Utile d'esercizio</t>
  </si>
  <si>
    <t>(88000*75%)</t>
  </si>
  <si>
    <t>amm.to plusvalore fabbricati</t>
  </si>
  <si>
    <t>(180000*3%)</t>
  </si>
  <si>
    <t>(60000*20%)</t>
  </si>
  <si>
    <t>(2100/2-500)</t>
  </si>
  <si>
    <t xml:space="preserve">n.di pezzi in rimanenza Partecipante  Gamma </t>
  </si>
  <si>
    <t>Utile unitario lordo</t>
  </si>
  <si>
    <t>(3-1,5)</t>
  </si>
  <si>
    <t>margine totale lordo</t>
  </si>
  <si>
    <t>effetto fiscale 40%</t>
  </si>
  <si>
    <t>(825*40%)</t>
  </si>
  <si>
    <t>margine totale netto</t>
  </si>
  <si>
    <t>(825-330)</t>
  </si>
  <si>
    <t>(495*75%)</t>
  </si>
  <si>
    <t xml:space="preserve">utile infragruppo di pertinenza </t>
  </si>
  <si>
    <t>storno utile infragruppo</t>
  </si>
  <si>
    <t>Valutazione della partecipazione al 31/12/20x2</t>
  </si>
  <si>
    <t>Storno dividendi</t>
  </si>
  <si>
    <t>(63000*75%)</t>
  </si>
  <si>
    <t>Valore della partecipazione al 31/12/X2</t>
  </si>
  <si>
    <t>ESERCIZIO 3</t>
  </si>
  <si>
    <t>COSTO STORICO</t>
  </si>
  <si>
    <t xml:space="preserve">VITA UTILE </t>
  </si>
  <si>
    <t>10 ANNI</t>
  </si>
  <si>
    <t>VALORE RESIDUO</t>
  </si>
  <si>
    <t>AMM.TO T1</t>
  </si>
  <si>
    <t>acquisto 01/07/T1</t>
  </si>
  <si>
    <t>600000/10=60000/2</t>
  </si>
  <si>
    <t>AMM.TO T2</t>
  </si>
  <si>
    <t>AMM.TO T3</t>
  </si>
  <si>
    <t>F.do ammortamento</t>
  </si>
  <si>
    <t>T1</t>
  </si>
  <si>
    <t>T2</t>
  </si>
  <si>
    <t>T3</t>
  </si>
  <si>
    <t>VALORE NETTO CONTABILE (Costo storico -F.do ammortamento)</t>
  </si>
  <si>
    <t>600000-150000</t>
  </si>
  <si>
    <t>=450000</t>
  </si>
  <si>
    <t>TOTALE</t>
  </si>
  <si>
    <t>RICAVI</t>
  </si>
  <si>
    <t>COSTI VARIABILI</t>
  </si>
  <si>
    <t>COSTI FISSI</t>
  </si>
  <si>
    <t>ONERI FINANZIARI</t>
  </si>
  <si>
    <t>CAPACITA' AMMORTAMENTO</t>
  </si>
  <si>
    <t>AMMORTAMENTO</t>
  </si>
  <si>
    <t>RISULTATO NETTO</t>
  </si>
  <si>
    <t xml:space="preserve">SVALUTAZIONE </t>
  </si>
  <si>
    <t xml:space="preserve">amm.to macchinario </t>
  </si>
  <si>
    <t>CE</t>
  </si>
  <si>
    <t>a</t>
  </si>
  <si>
    <t>F.do amm.to macchinario</t>
  </si>
  <si>
    <t>31/12/T3</t>
  </si>
  <si>
    <t>Svalutazione macchinario CE</t>
  </si>
  <si>
    <t>F.do amm.to macchinario SP</t>
  </si>
  <si>
    <t>F.do svalutazione macchinario</t>
  </si>
  <si>
    <t>F.do svalutazione macchinario SP</t>
  </si>
  <si>
    <t>VALORE NETTO CONTABILE al T3 dopo la svalutazione</t>
  </si>
  <si>
    <t>450000-59000</t>
  </si>
  <si>
    <t>ESERICIZIO 4</t>
  </si>
  <si>
    <t>08/01/t0</t>
  </si>
  <si>
    <t>#</t>
  </si>
  <si>
    <t>Macchinario</t>
  </si>
  <si>
    <t>Iva a credito</t>
  </si>
  <si>
    <t>Debiti v/fornitori</t>
  </si>
  <si>
    <t>1° quota di ammortamento</t>
  </si>
  <si>
    <t>500000-20000</t>
  </si>
  <si>
    <t>=480000</t>
  </si>
  <si>
    <t>480000/10</t>
  </si>
  <si>
    <t>=48000</t>
  </si>
  <si>
    <t>31/12/t0</t>
  </si>
  <si>
    <t>amm.to macchinario</t>
  </si>
  <si>
    <t>costo storico -F.do ammortamento</t>
  </si>
  <si>
    <t>500000-48000</t>
  </si>
  <si>
    <t>Valore d'uso</t>
  </si>
  <si>
    <t>Fair value</t>
  </si>
  <si>
    <t xml:space="preserve">bisogna prendere il maggiore </t>
  </si>
  <si>
    <t xml:space="preserve"> e confrontarlo con il VNC </t>
  </si>
  <si>
    <t>Per verificare se bisogna svalutare il macchinario si deve controllare se il valore netto contabile è più basso del maggiore tra il Fair value e il valore d'uso</t>
  </si>
  <si>
    <t>Non svaluto perché il valore netto contabile è inferiore del valore d'uso!!!!</t>
  </si>
  <si>
    <t>Anno T3</t>
  </si>
  <si>
    <t>T0</t>
  </si>
  <si>
    <t>(costo storico- f.do ammortamento)</t>
  </si>
  <si>
    <t>Valore netto contabile anno T3</t>
  </si>
  <si>
    <t>500000-192000</t>
  </si>
  <si>
    <t xml:space="preserve">Valore d'uso </t>
  </si>
  <si>
    <t>bisogna prendere sempre il maggiore tra valore d'uso e fai value</t>
  </si>
  <si>
    <t>confronto i 297000 con il Vnc 308000</t>
  </si>
  <si>
    <t>Devo svalutare perché il valore netto contabile è maggiore del valore d'uso!!!!</t>
  </si>
  <si>
    <t xml:space="preserve">Svalutazione è la differenza tra il valore d'uso e il valore contabile </t>
  </si>
  <si>
    <t>308000-297000</t>
  </si>
  <si>
    <t>Svalutazione macchinario</t>
  </si>
  <si>
    <t>Quota di ammortamento anno T4</t>
  </si>
  <si>
    <t xml:space="preserve">Valore residuo è irrilevante </t>
  </si>
  <si>
    <t xml:space="preserve">nuova quota </t>
  </si>
  <si>
    <t>500000-192000-11000</t>
  </si>
  <si>
    <t xml:space="preserve">Valore netto contabile dopo la svalutazione </t>
  </si>
  <si>
    <t>(anni residui da ammortizzare)</t>
  </si>
  <si>
    <t>Costo storico scaricato</t>
  </si>
  <si>
    <t>F.do amm.to scaricato</t>
  </si>
  <si>
    <t>Prezzo cessione</t>
  </si>
  <si>
    <t>Esercizio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</si>
</sst>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9" fontId="3" fillId="0" borderId="0" xfId="0" applyNumberFormat="1" applyFont="1"/>
    <xf numFmtId="43" fontId="0" fillId="0" borderId="0" xfId="1" applyFont="1"/>
    <xf numFmtId="0" fontId="0" fillId="0" borderId="0" xfId="0" applyAlignment="1">
      <alignment horizontal="center"/>
    </xf>
    <xf numFmtId="43" fontId="0" fillId="0" borderId="1" xfId="1" applyFont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/>
    <xf numFmtId="43" fontId="2" fillId="0" borderId="0" xfId="1" applyFont="1"/>
    <xf numFmtId="164" fontId="2" fillId="0" borderId="0" xfId="0" applyNumberFormat="1" applyFont="1"/>
    <xf numFmtId="43" fontId="2" fillId="0" borderId="0" xfId="1" applyFont="1" applyAlignment="1">
      <alignment horizontal="center"/>
    </xf>
    <xf numFmtId="0" fontId="2" fillId="0" borderId="0" xfId="0" applyFont="1"/>
    <xf numFmtId="43" fontId="2" fillId="0" borderId="1" xfId="1" applyFont="1" applyBorder="1"/>
    <xf numFmtId="164" fontId="3" fillId="0" borderId="0" xfId="0" applyNumberFormat="1" applyFont="1"/>
    <xf numFmtId="43" fontId="3" fillId="0" borderId="0" xfId="1" applyFont="1"/>
    <xf numFmtId="43" fontId="3" fillId="0" borderId="1" xfId="1" applyFont="1" applyBorder="1"/>
    <xf numFmtId="43" fontId="0" fillId="0" borderId="0" xfId="1" applyFont="1" applyAlignment="1">
      <alignment horizontal="right"/>
    </xf>
    <xf numFmtId="43" fontId="0" fillId="0" borderId="1" xfId="1" applyFont="1" applyBorder="1" applyAlignment="1">
      <alignment horizontal="right"/>
    </xf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0" xfId="0" quotePrefix="1"/>
    <xf numFmtId="0" fontId="0" fillId="0" borderId="4" xfId="0" applyBorder="1"/>
    <xf numFmtId="43" fontId="0" fillId="0" borderId="0" xfId="1" applyFont="1" applyBorder="1"/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justify" vertical="center"/>
    </xf>
    <xf numFmtId="3" fontId="0" fillId="0" borderId="8" xfId="0" applyNumberForma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165" fontId="0" fillId="0" borderId="8" xfId="0" applyNumberFormat="1" applyBorder="1" applyAlignment="1">
      <alignment horizontal="justify" vertical="center"/>
    </xf>
    <xf numFmtId="165" fontId="6" fillId="0" borderId="8" xfId="1" applyNumberFormat="1" applyFont="1" applyBorder="1" applyAlignment="1">
      <alignment horizontal="center" vertical="center"/>
    </xf>
    <xf numFmtId="165" fontId="0" fillId="2" borderId="8" xfId="0" applyNumberFormat="1" applyFill="1" applyBorder="1" applyAlignment="1">
      <alignment horizontal="justify" vertical="center"/>
    </xf>
    <xf numFmtId="43" fontId="3" fillId="0" borderId="0" xfId="1" applyFont="1" applyFill="1" applyBorder="1" applyAlignment="1">
      <alignment horizontal="justify" vertical="center"/>
    </xf>
    <xf numFmtId="43" fontId="0" fillId="0" borderId="3" xfId="1" applyFont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4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A0FD8-706B-4C00-9B25-375E04497CFE}">
  <sheetPr>
    <pageSetUpPr fitToPage="1"/>
  </sheetPr>
  <dimension ref="A3:L56"/>
  <sheetViews>
    <sheetView topLeftCell="A14" zoomScale="200" zoomScaleNormal="200" workbookViewId="0">
      <selection activeCell="G25" sqref="G25"/>
    </sheetView>
  </sheetViews>
  <sheetFormatPr defaultRowHeight="15" x14ac:dyDescent="0.25"/>
  <cols>
    <col min="3" max="3" width="10.7109375" customWidth="1"/>
    <col min="4" max="4" width="19.28515625" customWidth="1"/>
    <col min="5" max="5" width="15.42578125" customWidth="1"/>
    <col min="6" max="6" width="13.28515625" bestFit="1" customWidth="1"/>
    <col min="9" max="9" width="13.28515625" bestFit="1" customWidth="1"/>
    <col min="10" max="10" width="20.28515625" customWidth="1"/>
  </cols>
  <sheetData>
    <row r="3" spans="2:9" x14ac:dyDescent="0.25">
      <c r="B3" s="1" t="s">
        <v>0</v>
      </c>
    </row>
    <row r="5" spans="2:9" x14ac:dyDescent="0.25">
      <c r="B5" s="1" t="s">
        <v>1</v>
      </c>
    </row>
    <row r="8" spans="2:9" x14ac:dyDescent="0.25">
      <c r="B8" s="1" t="s">
        <v>2</v>
      </c>
      <c r="F8" s="2">
        <v>0.6</v>
      </c>
    </row>
    <row r="10" spans="2:9" x14ac:dyDescent="0.25">
      <c r="B10" t="s">
        <v>3</v>
      </c>
      <c r="G10" t="s">
        <v>4</v>
      </c>
      <c r="I10" s="3">
        <f>400000*0.6</f>
        <v>240000</v>
      </c>
    </row>
    <row r="11" spans="2:9" x14ac:dyDescent="0.25">
      <c r="B11" s="12" t="s">
        <v>19</v>
      </c>
    </row>
    <row r="12" spans="2:9" x14ac:dyDescent="0.25">
      <c r="B12" s="12" t="s">
        <v>20</v>
      </c>
      <c r="I12" s="9">
        <v>225000</v>
      </c>
    </row>
    <row r="13" spans="2:9" x14ac:dyDescent="0.25">
      <c r="B13" s="12" t="s">
        <v>21</v>
      </c>
      <c r="I13" s="13">
        <v>202500</v>
      </c>
    </row>
    <row r="15" spans="2:9" x14ac:dyDescent="0.25">
      <c r="B15" t="s">
        <v>22</v>
      </c>
      <c r="I15" s="7">
        <f>I10+I12+I13</f>
        <v>667500</v>
      </c>
    </row>
    <row r="16" spans="2:9" x14ac:dyDescent="0.25">
      <c r="B16" s="12" t="s">
        <v>24</v>
      </c>
      <c r="I16" s="10">
        <f>I18-I15</f>
        <v>232500</v>
      </c>
    </row>
    <row r="18" spans="2:9" x14ac:dyDescent="0.25">
      <c r="B18" t="s">
        <v>23</v>
      </c>
      <c r="I18" s="3">
        <v>900000</v>
      </c>
    </row>
    <row r="21" spans="2:9" x14ac:dyDescent="0.25">
      <c r="E21" s="4" t="s">
        <v>7</v>
      </c>
      <c r="F21" s="4" t="s">
        <v>8</v>
      </c>
    </row>
    <row r="22" spans="2:9" x14ac:dyDescent="0.25">
      <c r="B22" t="s">
        <v>5</v>
      </c>
      <c r="E22" s="3">
        <v>1700000</v>
      </c>
      <c r="F22" s="3">
        <v>450000</v>
      </c>
    </row>
    <row r="23" spans="2:9" x14ac:dyDescent="0.25">
      <c r="B23" t="s">
        <v>6</v>
      </c>
      <c r="E23" s="5">
        <v>1200000</v>
      </c>
      <c r="F23" s="6">
        <v>0</v>
      </c>
    </row>
    <row r="25" spans="2:9" x14ac:dyDescent="0.25">
      <c r="B25" t="s">
        <v>9</v>
      </c>
      <c r="E25" s="7">
        <f>E22-E23</f>
        <v>500000</v>
      </c>
      <c r="F25" s="7">
        <f>F22-F23</f>
        <v>450000</v>
      </c>
    </row>
    <row r="26" spans="2:9" x14ac:dyDescent="0.25">
      <c r="B26" t="s">
        <v>10</v>
      </c>
      <c r="E26" s="7">
        <f>E25*0.25</f>
        <v>125000</v>
      </c>
      <c r="F26" s="7">
        <f>F25*0.25</f>
        <v>112500</v>
      </c>
    </row>
    <row r="27" spans="2:9" x14ac:dyDescent="0.25">
      <c r="E27" s="8" t="s">
        <v>11</v>
      </c>
      <c r="F27" s="8" t="s">
        <v>12</v>
      </c>
    </row>
    <row r="29" spans="2:9" x14ac:dyDescent="0.25">
      <c r="B29" t="s">
        <v>13</v>
      </c>
      <c r="E29" s="7">
        <f>E25-E26</f>
        <v>375000</v>
      </c>
      <c r="F29" s="7">
        <f>F25-F26</f>
        <v>337500</v>
      </c>
    </row>
    <row r="30" spans="2:9" x14ac:dyDescent="0.25">
      <c r="E30" t="s">
        <v>14</v>
      </c>
      <c r="F30" t="s">
        <v>15</v>
      </c>
    </row>
    <row r="32" spans="2:9" x14ac:dyDescent="0.25">
      <c r="B32" s="12" t="s">
        <v>16</v>
      </c>
      <c r="E32" s="11">
        <f>375000*0.6</f>
        <v>225000</v>
      </c>
      <c r="F32" s="9">
        <f>F29*0.6</f>
        <v>202500</v>
      </c>
    </row>
    <row r="33" spans="1:12" x14ac:dyDescent="0.25">
      <c r="E33" t="s">
        <v>17</v>
      </c>
      <c r="F33" t="s">
        <v>18</v>
      </c>
    </row>
    <row r="36" spans="1:12" x14ac:dyDescent="0.25">
      <c r="B36" s="1" t="s">
        <v>1</v>
      </c>
    </row>
    <row r="38" spans="1:12" x14ac:dyDescent="0.25">
      <c r="B38" s="1" t="s">
        <v>25</v>
      </c>
    </row>
    <row r="40" spans="1:12" x14ac:dyDescent="0.25">
      <c r="B40" t="s">
        <v>26</v>
      </c>
      <c r="E40" t="s">
        <v>27</v>
      </c>
      <c r="F40" s="3">
        <f>300000*0.6</f>
        <v>180000</v>
      </c>
      <c r="I40" t="s">
        <v>36</v>
      </c>
      <c r="K40">
        <v>1500</v>
      </c>
    </row>
    <row r="41" spans="1:12" x14ac:dyDescent="0.25">
      <c r="A41" t="s">
        <v>30</v>
      </c>
      <c r="B41" t="s">
        <v>28</v>
      </c>
      <c r="E41" t="s">
        <v>29</v>
      </c>
      <c r="F41" s="3">
        <f>-(225000/10)</f>
        <v>-22500</v>
      </c>
      <c r="I41" t="s">
        <v>37</v>
      </c>
      <c r="K41" s="3">
        <v>3</v>
      </c>
    </row>
    <row r="42" spans="1:12" x14ac:dyDescent="0.25">
      <c r="A42" t="s">
        <v>30</v>
      </c>
      <c r="B42" t="s">
        <v>31</v>
      </c>
      <c r="E42" t="s">
        <v>33</v>
      </c>
      <c r="F42" s="3">
        <f>-(202500/2)</f>
        <v>-101250</v>
      </c>
      <c r="I42" t="s">
        <v>38</v>
      </c>
      <c r="K42">
        <f>1500*3</f>
        <v>4500</v>
      </c>
      <c r="L42" t="s">
        <v>39</v>
      </c>
    </row>
    <row r="43" spans="1:12" x14ac:dyDescent="0.25">
      <c r="A43" t="s">
        <v>30</v>
      </c>
      <c r="B43" t="s">
        <v>32</v>
      </c>
      <c r="E43" t="s">
        <v>34</v>
      </c>
      <c r="F43" s="3">
        <f>-(232500/5)</f>
        <v>-46500</v>
      </c>
      <c r="I43" t="s">
        <v>40</v>
      </c>
      <c r="K43" s="8">
        <f>K42*0.3</f>
        <v>1350</v>
      </c>
      <c r="L43" t="s">
        <v>41</v>
      </c>
    </row>
    <row r="44" spans="1:12" x14ac:dyDescent="0.25">
      <c r="B44" t="s">
        <v>35</v>
      </c>
      <c r="F44" s="3">
        <v>-1890</v>
      </c>
      <c r="I44" t="s">
        <v>42</v>
      </c>
      <c r="K44">
        <f>K42-K43</f>
        <v>3150</v>
      </c>
      <c r="L44" t="s">
        <v>43</v>
      </c>
    </row>
    <row r="45" spans="1:12" x14ac:dyDescent="0.25">
      <c r="I45" t="s">
        <v>44</v>
      </c>
      <c r="K45">
        <f>3150*0.6</f>
        <v>1890</v>
      </c>
      <c r="L45" t="s">
        <v>45</v>
      </c>
    </row>
    <row r="46" spans="1:12" x14ac:dyDescent="0.25">
      <c r="B46" s="1" t="s">
        <v>46</v>
      </c>
      <c r="F46" s="14">
        <f>F40+F41+F42+F43+F44</f>
        <v>7860</v>
      </c>
    </row>
    <row r="49" spans="2:6" x14ac:dyDescent="0.25">
      <c r="B49" s="1" t="s">
        <v>47</v>
      </c>
    </row>
    <row r="51" spans="2:6" x14ac:dyDescent="0.25">
      <c r="B51" t="s">
        <v>48</v>
      </c>
      <c r="F51" s="15">
        <v>900000</v>
      </c>
    </row>
    <row r="52" spans="2:6" x14ac:dyDescent="0.25">
      <c r="B52" t="s">
        <v>46</v>
      </c>
      <c r="F52" s="15">
        <v>7860</v>
      </c>
    </row>
    <row r="53" spans="2:6" x14ac:dyDescent="0.25">
      <c r="B53" t="s">
        <v>49</v>
      </c>
      <c r="E53" t="s">
        <v>50</v>
      </c>
      <c r="F53" s="15">
        <f>60000*0.6</f>
        <v>36000</v>
      </c>
    </row>
    <row r="54" spans="2:6" x14ac:dyDescent="0.25">
      <c r="B54" t="s">
        <v>51</v>
      </c>
      <c r="E54" t="s">
        <v>52</v>
      </c>
      <c r="F54" s="16">
        <f>-(12000*0.6)</f>
        <v>-7200</v>
      </c>
    </row>
    <row r="56" spans="2:6" x14ac:dyDescent="0.25">
      <c r="B56" s="1" t="s">
        <v>53</v>
      </c>
      <c r="F56" s="14">
        <f>F51+F52+F53+F54</f>
        <v>936660</v>
      </c>
    </row>
  </sheetData>
  <pageMargins left="0.70866141732283472" right="0.70866141732283472" top="0.74803149606299213" bottom="0.74803149606299213" header="0.31496062992125984" footer="0.31496062992125984"/>
  <pageSetup paperSize="9" scale="5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A7F7F-5F9A-4C59-A5D5-872431303787}">
  <sheetPr>
    <pageSetUpPr fitToPage="1"/>
  </sheetPr>
  <dimension ref="A3:E36"/>
  <sheetViews>
    <sheetView topLeftCell="A22" zoomScale="200" zoomScaleNormal="200" workbookViewId="0">
      <selection activeCell="D31" sqref="D31"/>
    </sheetView>
  </sheetViews>
  <sheetFormatPr defaultRowHeight="15" x14ac:dyDescent="0.25"/>
  <cols>
    <col min="2" max="2" width="40.42578125" customWidth="1"/>
    <col min="3" max="3" width="14.28515625" customWidth="1"/>
    <col min="5" max="5" width="12.28515625" bestFit="1" customWidth="1"/>
  </cols>
  <sheetData>
    <row r="3" spans="1:5" x14ac:dyDescent="0.25">
      <c r="B3" s="1" t="s">
        <v>54</v>
      </c>
    </row>
    <row r="5" spans="1:5" x14ac:dyDescent="0.25">
      <c r="B5" s="1" t="s">
        <v>55</v>
      </c>
    </row>
    <row r="8" spans="1:5" x14ac:dyDescent="0.25">
      <c r="B8" t="s">
        <v>56</v>
      </c>
      <c r="E8" s="3">
        <v>670000</v>
      </c>
    </row>
    <row r="11" spans="1:5" x14ac:dyDescent="0.25">
      <c r="B11" s="1" t="s">
        <v>46</v>
      </c>
    </row>
    <row r="13" spans="1:5" x14ac:dyDescent="0.25">
      <c r="B13" t="s">
        <v>57</v>
      </c>
      <c r="C13" t="s">
        <v>58</v>
      </c>
      <c r="E13" s="17">
        <f>88000*0.75</f>
        <v>66000</v>
      </c>
    </row>
    <row r="14" spans="1:5" x14ac:dyDescent="0.25">
      <c r="A14" t="s">
        <v>30</v>
      </c>
      <c r="B14" t="s">
        <v>59</v>
      </c>
      <c r="C14" t="s">
        <v>60</v>
      </c>
      <c r="E14" s="17">
        <f>-(180000*0.03)</f>
        <v>-5400</v>
      </c>
    </row>
    <row r="15" spans="1:5" x14ac:dyDescent="0.25">
      <c r="A15" t="s">
        <v>30</v>
      </c>
      <c r="B15" t="s">
        <v>32</v>
      </c>
      <c r="C15" t="s">
        <v>61</v>
      </c>
      <c r="E15" s="17">
        <f>-60000*20%</f>
        <v>-12000</v>
      </c>
    </row>
    <row r="16" spans="1:5" x14ac:dyDescent="0.25">
      <c r="A16" t="s">
        <v>30</v>
      </c>
      <c r="B16" t="s">
        <v>73</v>
      </c>
      <c r="E16" s="18">
        <v>-371.25</v>
      </c>
    </row>
    <row r="18" spans="2:5" x14ac:dyDescent="0.25">
      <c r="B18" s="19" t="s">
        <v>46</v>
      </c>
      <c r="C18" s="19"/>
      <c r="D18" s="19"/>
      <c r="E18" s="20">
        <f>E13+E14+E15+E16</f>
        <v>48228.75</v>
      </c>
    </row>
    <row r="21" spans="2:5" x14ac:dyDescent="0.25">
      <c r="B21" t="s">
        <v>63</v>
      </c>
      <c r="C21">
        <f>2100/2-500</f>
        <v>550</v>
      </c>
      <c r="E21" t="s">
        <v>62</v>
      </c>
    </row>
    <row r="22" spans="2:5" x14ac:dyDescent="0.25">
      <c r="B22" t="s">
        <v>64</v>
      </c>
      <c r="C22">
        <v>1.5</v>
      </c>
      <c r="E22" t="s">
        <v>65</v>
      </c>
    </row>
    <row r="23" spans="2:5" x14ac:dyDescent="0.25">
      <c r="B23" t="s">
        <v>66</v>
      </c>
      <c r="C23">
        <f>550*1.5</f>
        <v>825</v>
      </c>
    </row>
    <row r="24" spans="2:5" x14ac:dyDescent="0.25">
      <c r="B24" t="s">
        <v>67</v>
      </c>
      <c r="C24" s="8">
        <f>C23*0.4</f>
        <v>330</v>
      </c>
      <c r="E24" t="s">
        <v>68</v>
      </c>
    </row>
    <row r="25" spans="2:5" x14ac:dyDescent="0.25">
      <c r="B25" t="s">
        <v>69</v>
      </c>
      <c r="C25">
        <f>C23-C24</f>
        <v>495</v>
      </c>
      <c r="E25" t="s">
        <v>70</v>
      </c>
    </row>
    <row r="26" spans="2:5" x14ac:dyDescent="0.25">
      <c r="B26" s="1" t="s">
        <v>72</v>
      </c>
      <c r="C26" s="1">
        <f>495*0.75</f>
        <v>371.25</v>
      </c>
      <c r="E26" t="s">
        <v>71</v>
      </c>
    </row>
    <row r="30" spans="2:5" x14ac:dyDescent="0.25">
      <c r="B30" t="s">
        <v>74</v>
      </c>
    </row>
    <row r="32" spans="2:5" x14ac:dyDescent="0.25">
      <c r="B32" t="s">
        <v>53</v>
      </c>
      <c r="C32" s="3">
        <v>670000</v>
      </c>
    </row>
    <row r="33" spans="1:5" x14ac:dyDescent="0.25">
      <c r="B33" t="s">
        <v>46</v>
      </c>
      <c r="C33" s="3">
        <v>48228.75</v>
      </c>
    </row>
    <row r="34" spans="1:5" x14ac:dyDescent="0.25">
      <c r="A34" t="s">
        <v>30</v>
      </c>
      <c r="B34" t="s">
        <v>75</v>
      </c>
      <c r="C34" s="5">
        <f>-63000*0.75</f>
        <v>-47250</v>
      </c>
      <c r="E34" t="s">
        <v>76</v>
      </c>
    </row>
    <row r="36" spans="1:5" x14ac:dyDescent="0.25">
      <c r="B36" s="1" t="s">
        <v>77</v>
      </c>
      <c r="C36" s="14">
        <f>C32+C33+C34</f>
        <v>670978.75</v>
      </c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E4326-5631-49B0-8879-23EA09E33878}">
  <sheetPr>
    <pageSetUpPr fitToPage="1"/>
  </sheetPr>
  <dimension ref="B3:J44"/>
  <sheetViews>
    <sheetView topLeftCell="A31" zoomScale="200" zoomScaleNormal="200" workbookViewId="0">
      <selection activeCell="F43" sqref="F43"/>
    </sheetView>
  </sheetViews>
  <sheetFormatPr defaultRowHeight="15" x14ac:dyDescent="0.25"/>
  <cols>
    <col min="2" max="2" width="18.42578125" customWidth="1"/>
    <col min="3" max="3" width="13.140625" customWidth="1"/>
    <col min="4" max="4" width="10.85546875" customWidth="1"/>
    <col min="5" max="5" width="10.140625" customWidth="1"/>
    <col min="6" max="6" width="11.7109375" bestFit="1" customWidth="1"/>
    <col min="7" max="7" width="11.140625" customWidth="1"/>
    <col min="8" max="8" width="12" customWidth="1"/>
  </cols>
  <sheetData>
    <row r="3" spans="2:7" x14ac:dyDescent="0.25">
      <c r="B3" s="1" t="s">
        <v>78</v>
      </c>
    </row>
    <row r="5" spans="2:7" x14ac:dyDescent="0.25">
      <c r="B5" s="21" t="s">
        <v>79</v>
      </c>
      <c r="C5" s="3">
        <v>600000</v>
      </c>
    </row>
    <row r="6" spans="2:7" x14ac:dyDescent="0.25">
      <c r="B6" s="21" t="s">
        <v>80</v>
      </c>
      <c r="C6" s="4" t="s">
        <v>81</v>
      </c>
    </row>
    <row r="7" spans="2:7" x14ac:dyDescent="0.25">
      <c r="B7" t="s">
        <v>82</v>
      </c>
      <c r="C7" s="4">
        <v>0</v>
      </c>
    </row>
    <row r="9" spans="2:7" x14ac:dyDescent="0.25">
      <c r="B9" t="s">
        <v>83</v>
      </c>
      <c r="C9" s="3">
        <f>60000/2</f>
        <v>30000</v>
      </c>
      <c r="D9" t="s">
        <v>84</v>
      </c>
      <c r="F9" t="s">
        <v>85</v>
      </c>
    </row>
    <row r="10" spans="2:7" x14ac:dyDescent="0.25">
      <c r="B10" t="s">
        <v>86</v>
      </c>
      <c r="C10" s="3">
        <v>60000</v>
      </c>
    </row>
    <row r="11" spans="2:7" x14ac:dyDescent="0.25">
      <c r="B11" t="s">
        <v>87</v>
      </c>
      <c r="C11" s="3">
        <v>60000</v>
      </c>
    </row>
    <row r="13" spans="2:7" x14ac:dyDescent="0.25">
      <c r="E13" s="38" t="s">
        <v>88</v>
      </c>
      <c r="F13" s="38"/>
    </row>
    <row r="14" spans="2:7" x14ac:dyDescent="0.25">
      <c r="F14" s="22"/>
    </row>
    <row r="15" spans="2:7" x14ac:dyDescent="0.25">
      <c r="F15" s="23">
        <v>30000</v>
      </c>
      <c r="G15" t="s">
        <v>89</v>
      </c>
    </row>
    <row r="16" spans="2:7" x14ac:dyDescent="0.25">
      <c r="F16" s="23">
        <v>60000</v>
      </c>
      <c r="G16" t="s">
        <v>90</v>
      </c>
    </row>
    <row r="17" spans="2:8" x14ac:dyDescent="0.25">
      <c r="F17" s="25">
        <v>60000</v>
      </c>
      <c r="G17" t="s">
        <v>91</v>
      </c>
    </row>
    <row r="18" spans="2:8" x14ac:dyDescent="0.25">
      <c r="F18" s="26">
        <f>SUM(F15:F17)</f>
        <v>150000</v>
      </c>
    </row>
    <row r="20" spans="2:8" x14ac:dyDescent="0.25">
      <c r="B20" t="s">
        <v>92</v>
      </c>
    </row>
    <row r="21" spans="2:8" x14ac:dyDescent="0.25">
      <c r="B21" t="s">
        <v>93</v>
      </c>
      <c r="C21" s="24" t="s">
        <v>94</v>
      </c>
    </row>
    <row r="23" spans="2:8" ht="15.75" thickBot="1" x14ac:dyDescent="0.3"/>
    <row r="24" spans="2:8" ht="15.75" thickBot="1" x14ac:dyDescent="0.3">
      <c r="B24" s="27"/>
      <c r="C24" s="28">
        <v>4</v>
      </c>
      <c r="D24" s="28">
        <v>5</v>
      </c>
      <c r="E24" s="28">
        <v>6</v>
      </c>
      <c r="F24" s="28">
        <v>7</v>
      </c>
      <c r="G24" s="28">
        <v>8</v>
      </c>
      <c r="H24" s="28" t="s">
        <v>95</v>
      </c>
    </row>
    <row r="25" spans="2:8" ht="15.75" thickBot="1" x14ac:dyDescent="0.3">
      <c r="B25" s="29" t="s">
        <v>96</v>
      </c>
      <c r="C25" s="30">
        <v>40000</v>
      </c>
      <c r="D25" s="30">
        <v>50000</v>
      </c>
      <c r="E25" s="30">
        <v>100000</v>
      </c>
      <c r="F25" s="30">
        <v>100000</v>
      </c>
      <c r="G25" s="30">
        <v>100000</v>
      </c>
      <c r="H25" s="30">
        <v>390000</v>
      </c>
    </row>
    <row r="26" spans="2:8" ht="15.75" thickBot="1" x14ac:dyDescent="0.3">
      <c r="B26" s="29" t="s">
        <v>97</v>
      </c>
      <c r="C26" s="30">
        <v>-30000</v>
      </c>
      <c r="D26" s="30">
        <v>-25000</v>
      </c>
      <c r="E26" s="30">
        <v>-13000</v>
      </c>
      <c r="F26" s="30">
        <v>-13000</v>
      </c>
      <c r="G26" s="30">
        <v>-13000</v>
      </c>
      <c r="H26" s="30">
        <v>-94000</v>
      </c>
    </row>
    <row r="27" spans="2:8" ht="15.75" thickBot="1" x14ac:dyDescent="0.3">
      <c r="B27" s="29" t="s">
        <v>98</v>
      </c>
      <c r="C27" s="30">
        <v>-10000</v>
      </c>
      <c r="D27" s="30">
        <v>-10000</v>
      </c>
      <c r="E27" s="30">
        <v>-10000</v>
      </c>
      <c r="F27" s="30">
        <v>-10000</v>
      </c>
      <c r="G27" s="30">
        <v>-10000</v>
      </c>
      <c r="H27" s="30">
        <v>-50000</v>
      </c>
    </row>
    <row r="28" spans="2:8" ht="15.75" thickBot="1" x14ac:dyDescent="0.3">
      <c r="B28" s="29" t="s">
        <v>99</v>
      </c>
      <c r="C28" s="30">
        <v>-1000</v>
      </c>
      <c r="D28" s="30">
        <v>-1000</v>
      </c>
      <c r="E28" s="30">
        <v>-1000</v>
      </c>
      <c r="F28" s="30">
        <v>-1000</v>
      </c>
      <c r="G28" s="30">
        <v>-1000</v>
      </c>
      <c r="H28" s="30">
        <v>-5000</v>
      </c>
    </row>
    <row r="29" spans="2:8" ht="30.75" thickBot="1" x14ac:dyDescent="0.3">
      <c r="B29" s="29" t="s">
        <v>100</v>
      </c>
      <c r="C29" s="31">
        <f t="shared" ref="C29:H29" si="0">C25+C26+C27+C28</f>
        <v>-1000</v>
      </c>
      <c r="D29" s="31">
        <f t="shared" si="0"/>
        <v>14000</v>
      </c>
      <c r="E29" s="31">
        <f t="shared" si="0"/>
        <v>76000</v>
      </c>
      <c r="F29" s="31">
        <f t="shared" si="0"/>
        <v>76000</v>
      </c>
      <c r="G29" s="31">
        <f t="shared" si="0"/>
        <v>76000</v>
      </c>
      <c r="H29" s="31">
        <f t="shared" si="0"/>
        <v>241000</v>
      </c>
    </row>
    <row r="30" spans="2:8" ht="15.75" thickBot="1" x14ac:dyDescent="0.3">
      <c r="B30" s="29" t="s">
        <v>101</v>
      </c>
      <c r="C30" s="33">
        <v>-60000</v>
      </c>
      <c r="D30" s="33">
        <v>-60000</v>
      </c>
      <c r="E30" s="33">
        <v>-60000</v>
      </c>
      <c r="F30" s="33">
        <v>-60000</v>
      </c>
      <c r="G30" s="33">
        <v>-60000</v>
      </c>
      <c r="H30" s="33">
        <f>C30+D30+E30+F30+G30</f>
        <v>-300000</v>
      </c>
    </row>
    <row r="31" spans="2:8" ht="15.75" thickBot="1" x14ac:dyDescent="0.3">
      <c r="B31" s="29" t="s">
        <v>102</v>
      </c>
      <c r="C31" s="32">
        <f>C29+C30</f>
        <v>-61000</v>
      </c>
      <c r="D31" s="32">
        <f t="shared" ref="D31:G31" si="1">D29+D30</f>
        <v>-46000</v>
      </c>
      <c r="E31" s="32">
        <f t="shared" si="1"/>
        <v>16000</v>
      </c>
      <c r="F31" s="32">
        <f t="shared" si="1"/>
        <v>16000</v>
      </c>
      <c r="G31" s="32">
        <f t="shared" si="1"/>
        <v>16000</v>
      </c>
      <c r="H31" s="34">
        <f>C31+D31+F31+G31+E31</f>
        <v>-59000</v>
      </c>
    </row>
    <row r="33" spans="2:10" x14ac:dyDescent="0.25">
      <c r="B33" s="35" t="s">
        <v>103</v>
      </c>
      <c r="C33" s="15">
        <v>59000</v>
      </c>
    </row>
    <row r="35" spans="2:10" x14ac:dyDescent="0.25">
      <c r="B35" s="8"/>
      <c r="C35" s="8"/>
      <c r="D35" s="8"/>
      <c r="E35" t="s">
        <v>108</v>
      </c>
      <c r="F35" s="8"/>
      <c r="G35" s="8"/>
      <c r="H35" s="8"/>
    </row>
    <row r="36" spans="2:10" x14ac:dyDescent="0.25">
      <c r="B36" t="s">
        <v>104</v>
      </c>
      <c r="C36" t="s">
        <v>105</v>
      </c>
      <c r="E36" t="s">
        <v>106</v>
      </c>
      <c r="F36" t="s">
        <v>110</v>
      </c>
      <c r="I36">
        <v>60000</v>
      </c>
      <c r="J36" s="23">
        <v>60000</v>
      </c>
    </row>
    <row r="38" spans="2:10" x14ac:dyDescent="0.25">
      <c r="B38" s="8"/>
      <c r="C38" s="8"/>
      <c r="D38" s="8"/>
      <c r="E38" t="s">
        <v>108</v>
      </c>
      <c r="F38" s="8"/>
      <c r="G38" s="8"/>
      <c r="H38" s="8"/>
    </row>
    <row r="39" spans="2:10" x14ac:dyDescent="0.25">
      <c r="B39" t="s">
        <v>109</v>
      </c>
      <c r="E39" t="s">
        <v>106</v>
      </c>
      <c r="F39" t="s">
        <v>112</v>
      </c>
      <c r="I39">
        <v>59000</v>
      </c>
      <c r="J39" s="23">
        <v>59000</v>
      </c>
    </row>
    <row r="42" spans="2:10" x14ac:dyDescent="0.25">
      <c r="B42" t="s">
        <v>113</v>
      </c>
    </row>
    <row r="44" spans="2:10" x14ac:dyDescent="0.25">
      <c r="B44" t="s">
        <v>114</v>
      </c>
      <c r="C44" s="15">
        <f>450000-59000</f>
        <v>391000</v>
      </c>
    </row>
  </sheetData>
  <mergeCells count="1">
    <mergeCell ref="E13:F1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18571-8789-4444-8CED-EAB4F39A99AD}">
  <sheetPr>
    <pageSetUpPr fitToPage="1"/>
  </sheetPr>
  <dimension ref="B3:K68"/>
  <sheetViews>
    <sheetView zoomScale="200" zoomScaleNormal="200" workbookViewId="0">
      <selection activeCell="H67" sqref="H67"/>
    </sheetView>
  </sheetViews>
  <sheetFormatPr defaultRowHeight="15" x14ac:dyDescent="0.25"/>
  <cols>
    <col min="2" max="2" width="14.85546875" customWidth="1"/>
    <col min="3" max="3" width="11.7109375" bestFit="1" customWidth="1"/>
    <col min="5" max="5" width="11.7109375" bestFit="1" customWidth="1"/>
    <col min="8" max="11" width="11.7109375" bestFit="1" customWidth="1"/>
  </cols>
  <sheetData>
    <row r="3" spans="2:10" x14ac:dyDescent="0.25">
      <c r="B3" s="1" t="s">
        <v>115</v>
      </c>
    </row>
    <row r="6" spans="2:10" x14ac:dyDescent="0.25">
      <c r="B6" s="8"/>
      <c r="C6" s="8"/>
      <c r="D6" s="8"/>
      <c r="E6" t="s">
        <v>116</v>
      </c>
      <c r="F6" s="8"/>
      <c r="G6" s="8"/>
      <c r="H6" s="8"/>
      <c r="I6" s="3"/>
      <c r="J6" s="3"/>
    </row>
    <row r="7" spans="2:10" x14ac:dyDescent="0.25">
      <c r="B7" s="4" t="s">
        <v>117</v>
      </c>
      <c r="C7" s="4"/>
      <c r="D7" s="4"/>
      <c r="E7" t="s">
        <v>106</v>
      </c>
      <c r="F7" t="s">
        <v>120</v>
      </c>
      <c r="I7" s="3"/>
      <c r="J7" s="36">
        <f>I8+I9</f>
        <v>610000</v>
      </c>
    </row>
    <row r="8" spans="2:10" x14ac:dyDescent="0.25">
      <c r="B8" t="s">
        <v>118</v>
      </c>
      <c r="I8" s="3">
        <v>500000</v>
      </c>
      <c r="J8" s="36"/>
    </row>
    <row r="9" spans="2:10" x14ac:dyDescent="0.25">
      <c r="B9" t="s">
        <v>119</v>
      </c>
      <c r="I9" s="3">
        <f>I8*0.22</f>
        <v>110000</v>
      </c>
      <c r="J9" s="36"/>
    </row>
    <row r="10" spans="2:10" x14ac:dyDescent="0.25">
      <c r="I10" s="3"/>
      <c r="J10" s="36"/>
    </row>
    <row r="11" spans="2:10" x14ac:dyDescent="0.25">
      <c r="I11" s="3"/>
      <c r="J11" s="36"/>
    </row>
    <row r="12" spans="2:10" x14ac:dyDescent="0.25">
      <c r="B12" t="s">
        <v>121</v>
      </c>
      <c r="J12" s="23"/>
    </row>
    <row r="13" spans="2:10" x14ac:dyDescent="0.25">
      <c r="B13" t="s">
        <v>122</v>
      </c>
      <c r="C13" s="24" t="s">
        <v>123</v>
      </c>
      <c r="E13" t="s">
        <v>124</v>
      </c>
      <c r="G13" s="24" t="s">
        <v>125</v>
      </c>
    </row>
    <row r="15" spans="2:10" x14ac:dyDescent="0.25">
      <c r="B15" s="8"/>
      <c r="C15" s="8"/>
      <c r="D15" s="8"/>
      <c r="E15" t="s">
        <v>126</v>
      </c>
      <c r="F15" s="8"/>
      <c r="G15" s="8"/>
      <c r="H15" s="8"/>
      <c r="I15" s="3"/>
      <c r="J15" s="3"/>
    </row>
    <row r="16" spans="2:10" x14ac:dyDescent="0.25">
      <c r="B16" s="37" t="s">
        <v>127</v>
      </c>
      <c r="C16" s="4"/>
      <c r="D16" s="4"/>
      <c r="E16" s="4" t="s">
        <v>106</v>
      </c>
      <c r="F16" t="s">
        <v>107</v>
      </c>
      <c r="I16" s="3">
        <v>48000</v>
      </c>
      <c r="J16" s="36">
        <v>48000</v>
      </c>
    </row>
    <row r="19" spans="2:11" x14ac:dyDescent="0.25">
      <c r="B19" t="s">
        <v>6</v>
      </c>
    </row>
    <row r="20" spans="2:11" x14ac:dyDescent="0.25">
      <c r="B20" t="s">
        <v>128</v>
      </c>
      <c r="E20" t="s">
        <v>129</v>
      </c>
      <c r="G20">
        <f>500000-48000</f>
        <v>452000</v>
      </c>
    </row>
    <row r="22" spans="2:11" x14ac:dyDescent="0.25">
      <c r="B22" t="s">
        <v>131</v>
      </c>
      <c r="C22" s="3">
        <v>400000</v>
      </c>
      <c r="E22" t="s">
        <v>132</v>
      </c>
      <c r="H22" s="3">
        <v>470000</v>
      </c>
      <c r="I22" t="s">
        <v>133</v>
      </c>
      <c r="K22" s="3">
        <v>452000</v>
      </c>
    </row>
    <row r="23" spans="2:11" x14ac:dyDescent="0.25">
      <c r="B23" t="s">
        <v>130</v>
      </c>
      <c r="C23" s="3">
        <v>470000</v>
      </c>
    </row>
    <row r="25" spans="2:11" x14ac:dyDescent="0.25">
      <c r="B25" t="s">
        <v>134</v>
      </c>
    </row>
    <row r="27" spans="2:11" x14ac:dyDescent="0.25">
      <c r="B27" s="1" t="s">
        <v>135</v>
      </c>
    </row>
    <row r="30" spans="2:11" x14ac:dyDescent="0.25">
      <c r="B30" t="s">
        <v>136</v>
      </c>
    </row>
    <row r="32" spans="2:11" x14ac:dyDescent="0.25">
      <c r="B32" s="8" t="s">
        <v>107</v>
      </c>
    </row>
    <row r="33" spans="2:10" x14ac:dyDescent="0.25">
      <c r="C33" s="22">
        <v>48000</v>
      </c>
      <c r="D33" t="s">
        <v>137</v>
      </c>
    </row>
    <row r="34" spans="2:10" x14ac:dyDescent="0.25">
      <c r="C34" s="23">
        <v>48000</v>
      </c>
      <c r="D34" t="s">
        <v>89</v>
      </c>
    </row>
    <row r="35" spans="2:10" x14ac:dyDescent="0.25">
      <c r="C35" s="23">
        <v>48000</v>
      </c>
      <c r="D35" t="s">
        <v>90</v>
      </c>
    </row>
    <row r="36" spans="2:10" x14ac:dyDescent="0.25">
      <c r="C36" s="25">
        <v>48000</v>
      </c>
      <c r="D36" t="s">
        <v>91</v>
      </c>
    </row>
    <row r="37" spans="2:10" x14ac:dyDescent="0.25">
      <c r="C37" s="1">
        <f>SUM(C33:C36)</f>
        <v>192000</v>
      </c>
    </row>
    <row r="39" spans="2:10" x14ac:dyDescent="0.25">
      <c r="B39" s="8"/>
      <c r="C39" s="8"/>
      <c r="D39" s="8"/>
      <c r="E39" t="s">
        <v>108</v>
      </c>
      <c r="F39" s="8"/>
      <c r="G39" s="8"/>
      <c r="H39" s="8"/>
      <c r="I39" s="3"/>
      <c r="J39" s="3"/>
    </row>
    <row r="40" spans="2:10" x14ac:dyDescent="0.25">
      <c r="B40" s="37" t="s">
        <v>127</v>
      </c>
      <c r="C40" s="4"/>
      <c r="D40" s="4"/>
      <c r="E40" s="4" t="s">
        <v>106</v>
      </c>
      <c r="F40" t="s">
        <v>107</v>
      </c>
      <c r="I40" s="3">
        <v>48000</v>
      </c>
      <c r="J40" s="36">
        <v>48000</v>
      </c>
    </row>
    <row r="43" spans="2:10" x14ac:dyDescent="0.25">
      <c r="B43" t="s">
        <v>139</v>
      </c>
    </row>
    <row r="44" spans="2:10" x14ac:dyDescent="0.25">
      <c r="B44" t="s">
        <v>138</v>
      </c>
    </row>
    <row r="45" spans="2:10" x14ac:dyDescent="0.25">
      <c r="B45" t="s">
        <v>140</v>
      </c>
      <c r="C45" s="15">
        <f>500000-192000</f>
        <v>308000</v>
      </c>
    </row>
    <row r="48" spans="2:10" x14ac:dyDescent="0.25">
      <c r="B48" t="s">
        <v>131</v>
      </c>
      <c r="C48" s="3">
        <v>250000</v>
      </c>
      <c r="E48" t="s">
        <v>142</v>
      </c>
    </row>
    <row r="49" spans="2:10" x14ac:dyDescent="0.25">
      <c r="B49" t="s">
        <v>141</v>
      </c>
      <c r="C49" s="3">
        <v>297000</v>
      </c>
      <c r="E49" s="3">
        <v>297000</v>
      </c>
    </row>
    <row r="51" spans="2:10" x14ac:dyDescent="0.25">
      <c r="B51" t="s">
        <v>143</v>
      </c>
      <c r="E51" s="1" t="s">
        <v>144</v>
      </c>
    </row>
    <row r="53" spans="2:10" x14ac:dyDescent="0.25">
      <c r="B53" t="s">
        <v>145</v>
      </c>
      <c r="H53" t="s">
        <v>146</v>
      </c>
      <c r="J53" s="3">
        <f>308000-297000</f>
        <v>11000</v>
      </c>
    </row>
    <row r="56" spans="2:10" x14ac:dyDescent="0.25">
      <c r="B56" s="8"/>
      <c r="C56" s="8"/>
      <c r="D56" s="8"/>
      <c r="E56" s="4" t="s">
        <v>108</v>
      </c>
      <c r="F56" s="8"/>
      <c r="G56" s="8"/>
      <c r="H56" s="8"/>
      <c r="I56" s="3"/>
      <c r="J56" s="3"/>
    </row>
    <row r="57" spans="2:10" x14ac:dyDescent="0.25">
      <c r="B57" t="s">
        <v>147</v>
      </c>
      <c r="E57" s="4" t="s">
        <v>106</v>
      </c>
      <c r="F57" t="s">
        <v>111</v>
      </c>
      <c r="I57" s="3">
        <v>11000</v>
      </c>
      <c r="J57" s="36">
        <v>11000</v>
      </c>
    </row>
    <row r="60" spans="2:10" x14ac:dyDescent="0.25">
      <c r="B60" s="1" t="s">
        <v>148</v>
      </c>
    </row>
    <row r="62" spans="2:10" x14ac:dyDescent="0.25">
      <c r="B62" t="s">
        <v>149</v>
      </c>
    </row>
    <row r="64" spans="2:10" x14ac:dyDescent="0.25">
      <c r="B64" t="s">
        <v>150</v>
      </c>
      <c r="C64" s="8" t="s">
        <v>151</v>
      </c>
      <c r="D64" s="8"/>
      <c r="E64" s="15">
        <f>297000/6</f>
        <v>49500</v>
      </c>
    </row>
    <row r="65" spans="2:9" x14ac:dyDescent="0.25">
      <c r="C65" s="39">
        <v>6</v>
      </c>
      <c r="D65" s="39"/>
    </row>
    <row r="66" spans="2:9" x14ac:dyDescent="0.25">
      <c r="C66" t="s">
        <v>153</v>
      </c>
    </row>
    <row r="68" spans="2:9" x14ac:dyDescent="0.25">
      <c r="B68" t="s">
        <v>152</v>
      </c>
      <c r="F68" t="s">
        <v>151</v>
      </c>
      <c r="I68" s="3">
        <f>500000-192000-11000</f>
        <v>297000</v>
      </c>
    </row>
  </sheetData>
  <mergeCells count="1">
    <mergeCell ref="C65:D65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EFE34-4AC2-45CA-BDC5-D715C18E5A4E}">
  <dimension ref="A3:B6"/>
  <sheetViews>
    <sheetView tabSelected="1" workbookViewId="0">
      <selection activeCell="N21" sqref="N21"/>
    </sheetView>
  </sheetViews>
  <sheetFormatPr defaultRowHeight="15" x14ac:dyDescent="0.25"/>
  <cols>
    <col min="1" max="1" width="25" customWidth="1"/>
    <col min="2" max="2" width="12.5703125" customWidth="1"/>
  </cols>
  <sheetData>
    <row r="3" spans="1:2" x14ac:dyDescent="0.25">
      <c r="A3" s="1" t="s">
        <v>157</v>
      </c>
    </row>
    <row r="4" spans="1:2" x14ac:dyDescent="0.25">
      <c r="A4" t="s">
        <v>154</v>
      </c>
      <c r="B4" s="40">
        <v>24000</v>
      </c>
    </row>
    <row r="5" spans="1:2" x14ac:dyDescent="0.25">
      <c r="A5" t="s">
        <v>155</v>
      </c>
      <c r="B5" s="40">
        <v>7000</v>
      </c>
    </row>
    <row r="6" spans="1:2" x14ac:dyDescent="0.25">
      <c r="A6" t="s">
        <v>156</v>
      </c>
      <c r="B6" s="40">
        <v>19000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Foglio2</vt:lpstr>
      <vt:lpstr>Foglio3</vt:lpstr>
      <vt:lpstr>Foglio4</vt:lpstr>
      <vt:lpstr>Foglio5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Spedicato</dc:creator>
  <cp:lastModifiedBy>Studio APV1</cp:lastModifiedBy>
  <cp:lastPrinted>2024-03-22T15:07:25Z</cp:lastPrinted>
  <dcterms:created xsi:type="dcterms:W3CDTF">2023-03-31T07:08:46Z</dcterms:created>
  <dcterms:modified xsi:type="dcterms:W3CDTF">2024-03-22T15:42:15Z</dcterms:modified>
</cp:coreProperties>
</file>