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ministratore\Desktop\"/>
    </mc:Choice>
  </mc:AlternateContent>
  <xr:revisionPtr revIDLastSave="0" documentId="13_ncr:1_{96D6B9C2-E68F-411B-944B-7FE7C459732A}" xr6:coauthVersionLast="47" xr6:coauthVersionMax="47" xr10:uidLastSave="{00000000-0000-0000-0000-000000000000}"/>
  <bookViews>
    <workbookView xWindow="-120" yWindow="-120" windowWidth="25440" windowHeight="15390" xr2:uid="{5F9B4058-8D31-45BE-9BCD-3FA4400C3C5C}"/>
  </bookViews>
  <sheets>
    <sheet name="Foglio1" sheetId="1" r:id="rId1"/>
    <sheet name="Foglio2" sheetId="2" r:id="rId2"/>
    <sheet name="Foglio3" sheetId="3" r:id="rId3"/>
    <sheet name="Foglio4" sheetId="4" r:id="rId4"/>
    <sheet name="Foglio5" sheetId="6" r:id="rId5"/>
    <sheet name="Foglio6" sheetId="5" r:id="rId6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6" l="1"/>
  <c r="F31" i="6"/>
  <c r="E31" i="6"/>
  <c r="D31" i="6"/>
  <c r="H30" i="6"/>
  <c r="H29" i="6"/>
  <c r="G29" i="6"/>
  <c r="G31" i="6" s="1"/>
  <c r="F29" i="6"/>
  <c r="E29" i="6"/>
  <c r="D29" i="6"/>
  <c r="C29" i="6"/>
  <c r="C31" i="6" s="1"/>
  <c r="H31" i="6" s="1"/>
  <c r="F18" i="6"/>
  <c r="C9" i="6"/>
  <c r="B62" i="5"/>
  <c r="C42" i="5"/>
  <c r="D46" i="5"/>
  <c r="B47" i="5"/>
  <c r="B31" i="5"/>
  <c r="G28" i="5"/>
  <c r="F29" i="5"/>
  <c r="F28" i="5"/>
  <c r="F23" i="5"/>
  <c r="D22" i="5"/>
  <c r="D21" i="5"/>
  <c r="D17" i="5"/>
  <c r="D14" i="5"/>
  <c r="E53" i="4"/>
  <c r="E51" i="4"/>
  <c r="E37" i="4"/>
  <c r="E46" i="4"/>
  <c r="E45" i="4"/>
  <c r="E44" i="4"/>
  <c r="E43" i="4"/>
  <c r="E35" i="4"/>
  <c r="E34" i="4"/>
  <c r="E33" i="4"/>
  <c r="E32" i="4"/>
  <c r="E12" i="4"/>
  <c r="E24" i="4"/>
  <c r="E20" i="4"/>
  <c r="E21" i="4" s="1"/>
  <c r="D20" i="4"/>
  <c r="D21" i="4" s="1"/>
  <c r="C20" i="4"/>
  <c r="C21" i="4" s="1"/>
  <c r="E7" i="4"/>
  <c r="E11" i="4" s="1"/>
  <c r="F11" i="3"/>
  <c r="E11" i="3"/>
  <c r="D11" i="3"/>
  <c r="D9" i="3"/>
  <c r="D15" i="3"/>
  <c r="D17" i="3"/>
  <c r="C11" i="3"/>
  <c r="C15" i="3"/>
  <c r="C17" i="3"/>
  <c r="J15" i="3"/>
  <c r="J14" i="3"/>
  <c r="J8" i="3"/>
  <c r="J9" i="3" s="1"/>
  <c r="F20" i="2"/>
  <c r="F18" i="2"/>
  <c r="F11" i="2"/>
  <c r="F9" i="2"/>
  <c r="F8" i="2"/>
  <c r="K14" i="2"/>
  <c r="K11" i="2"/>
  <c r="K9" i="2"/>
  <c r="F7" i="2"/>
  <c r="M72" i="1"/>
  <c r="I62" i="1"/>
  <c r="I38" i="1"/>
  <c r="J19" i="1"/>
  <c r="I16" i="1"/>
  <c r="L17" i="1"/>
  <c r="C23" i="4" l="1"/>
  <c r="C24" i="4" s="1"/>
  <c r="D23" i="4"/>
  <c r="D24" i="4" s="1"/>
  <c r="E23" i="4"/>
</calcChain>
</file>

<file path=xl/sharedStrings.xml><?xml version="1.0" encoding="utf-8"?>
<sst xmlns="http://schemas.openxmlformats.org/spreadsheetml/2006/main" count="310" uniqueCount="214">
  <si>
    <t>ESERCIZIO 1</t>
  </si>
  <si>
    <t>1A)</t>
  </si>
  <si>
    <t>01/09/x1</t>
  </si>
  <si>
    <t>Interessi passivi (CE)</t>
  </si>
  <si>
    <t>a</t>
  </si>
  <si>
    <t>Banca (SP)</t>
  </si>
  <si>
    <t>Interessi</t>
  </si>
  <si>
    <t>=50000*10%=5000</t>
  </si>
  <si>
    <t>5000/2=2500</t>
  </si>
  <si>
    <t>31/12/X1</t>
  </si>
  <si>
    <t>rateo passivo</t>
  </si>
  <si>
    <t>2500:6=X:4</t>
  </si>
  <si>
    <t>x=</t>
  </si>
  <si>
    <t>Rateo Passivo (SP)</t>
  </si>
  <si>
    <t>Conto Economico</t>
  </si>
  <si>
    <t>Conto Economico (CE)</t>
  </si>
  <si>
    <t>(2500+1666,67)</t>
  </si>
  <si>
    <t>#</t>
  </si>
  <si>
    <t>Banca c/c</t>
  </si>
  <si>
    <t>Rateo passivo</t>
  </si>
  <si>
    <t>Stato patrimoniale di chiusura</t>
  </si>
  <si>
    <t xml:space="preserve">Perdita d'esercizio </t>
  </si>
  <si>
    <t xml:space="preserve">Stato patrimoniale di chiusura </t>
  </si>
  <si>
    <t>Perdita d'esercizio</t>
  </si>
  <si>
    <t>01/01/X2</t>
  </si>
  <si>
    <t>Stato patrimoniale iniziale</t>
  </si>
  <si>
    <t>Banca x c/c</t>
  </si>
  <si>
    <t>01/03/X2</t>
  </si>
  <si>
    <t>Interessi passivi</t>
  </si>
  <si>
    <t>1B</t>
  </si>
  <si>
    <t>Acquisto di materie prime (CE)</t>
  </si>
  <si>
    <t>Fornitori c/ fatture da ricevere (SP)</t>
  </si>
  <si>
    <t xml:space="preserve">Fornitori c/fatture da ricevere (SP) </t>
  </si>
  <si>
    <t xml:space="preserve">Stato patrimoniale iniziale </t>
  </si>
  <si>
    <t>Fornitori c/fatture da ricevere</t>
  </si>
  <si>
    <t>15/01/X2</t>
  </si>
  <si>
    <t>Debiti vs/ fornitori (SP)</t>
  </si>
  <si>
    <t>Fornitori c/fatture da ricevere (SP)</t>
  </si>
  <si>
    <t>Iva a credito (SP)</t>
  </si>
  <si>
    <t>1C</t>
  </si>
  <si>
    <t>01/10/X1</t>
  </si>
  <si>
    <t>Banca x c/c (SP)</t>
  </si>
  <si>
    <t>Affitti attivi</t>
  </si>
  <si>
    <t>Affitti attivi (CE)</t>
  </si>
  <si>
    <t>incassato 10000</t>
  </si>
  <si>
    <t>Risconto passivo</t>
  </si>
  <si>
    <t>10000:X=12:9</t>
  </si>
  <si>
    <t>Risconti passivi(SP)</t>
  </si>
  <si>
    <t xml:space="preserve">Conto Economico </t>
  </si>
  <si>
    <t>Risconti passivi</t>
  </si>
  <si>
    <t>Conto economico</t>
  </si>
  <si>
    <t>Utile d'esercizio</t>
  </si>
  <si>
    <t xml:space="preserve">Utile d'esercizio </t>
  </si>
  <si>
    <t>01/01/x2</t>
  </si>
  <si>
    <t>ESERCIZIO 2</t>
  </si>
  <si>
    <t>Determiniamo l'utile rettificato</t>
  </si>
  <si>
    <t>Utile</t>
  </si>
  <si>
    <t>100000*80%</t>
  </si>
  <si>
    <t>-</t>
  </si>
  <si>
    <t xml:space="preserve">amm.to plusvalori </t>
  </si>
  <si>
    <t>amm.to avviamento</t>
  </si>
  <si>
    <t>Plusvalori netti</t>
  </si>
  <si>
    <t>Plusvalori lordi</t>
  </si>
  <si>
    <t>Effetti fiscale</t>
  </si>
  <si>
    <t>(360000*25%)</t>
  </si>
  <si>
    <t>Avviamento??</t>
  </si>
  <si>
    <t>800000-500000-270000</t>
  </si>
  <si>
    <t>(270000*3%)</t>
  </si>
  <si>
    <t>(30000*20%)</t>
  </si>
  <si>
    <t>totale utile rettificato</t>
  </si>
  <si>
    <t>Valore della partecipazione al 31/12/2013</t>
  </si>
  <si>
    <t>Valore iniziale</t>
  </si>
  <si>
    <t>+</t>
  </si>
  <si>
    <t>Dividendi</t>
  </si>
  <si>
    <t>(30000*80%)</t>
  </si>
  <si>
    <t>Utile rettificato</t>
  </si>
  <si>
    <t>Valore finale della partecipazione</t>
  </si>
  <si>
    <t>(960000+65900-24000)</t>
  </si>
  <si>
    <t>ESERCIZIO 3</t>
  </si>
  <si>
    <t>Ricavi</t>
  </si>
  <si>
    <t>20X1</t>
  </si>
  <si>
    <t>20X2</t>
  </si>
  <si>
    <t>20X3</t>
  </si>
  <si>
    <t>Costi della produzione</t>
  </si>
  <si>
    <t>Variazione opere in corso</t>
  </si>
  <si>
    <t>Margine operativo</t>
  </si>
  <si>
    <t>S.A.L.</t>
  </si>
  <si>
    <t>(percentuale di completamento)</t>
  </si>
  <si>
    <t>Preventivo</t>
  </si>
  <si>
    <t>Corrispettivi</t>
  </si>
  <si>
    <t xml:space="preserve">Costi di produzione </t>
  </si>
  <si>
    <t>Margine</t>
  </si>
  <si>
    <t>(40000+60000+67500)</t>
  </si>
  <si>
    <t>Corrispettivo</t>
  </si>
  <si>
    <t>(40000+75000+80000)</t>
  </si>
  <si>
    <t>con aumenti</t>
  </si>
  <si>
    <t>40000/167500</t>
  </si>
  <si>
    <t>(250000*23,88%)</t>
  </si>
  <si>
    <t>Opere iniziali -</t>
  </si>
  <si>
    <t>Opere finali +</t>
  </si>
  <si>
    <t>(40000+75000)/195000</t>
  </si>
  <si>
    <t>(250000*58,97%)</t>
  </si>
  <si>
    <t>(147435,90-59701,49)</t>
  </si>
  <si>
    <t>(19701,49+12734,41+22564,10)</t>
  </si>
  <si>
    <t>ESERCIZIO 4</t>
  </si>
  <si>
    <t>SCOMPOSIZIONE DEL PREZZO</t>
  </si>
  <si>
    <t xml:space="preserve">Quota del PNC di pertinenza della partecipante </t>
  </si>
  <si>
    <t>(120000+30000+10000)</t>
  </si>
  <si>
    <t>160000*40%</t>
  </si>
  <si>
    <t>Valore Corrente</t>
  </si>
  <si>
    <t>Valore netto contabile</t>
  </si>
  <si>
    <t>Immobili</t>
  </si>
  <si>
    <t xml:space="preserve">Terreni </t>
  </si>
  <si>
    <t>Impianti</t>
  </si>
  <si>
    <t xml:space="preserve">Plusvalenza lorda </t>
  </si>
  <si>
    <t>Plusvalenza netta</t>
  </si>
  <si>
    <t>Effetto fiscale 30%</t>
  </si>
  <si>
    <t>Plusvalenza di pertinenza della partecipante (40%)</t>
  </si>
  <si>
    <t>(21000*40%)</t>
  </si>
  <si>
    <t>(5600*40%)</t>
  </si>
  <si>
    <t>(2800*40%)</t>
  </si>
  <si>
    <t>Plusvelenza netta immobili</t>
  </si>
  <si>
    <t>Plusvalenza netta terreni</t>
  </si>
  <si>
    <t>Plusvalenza netta impianti</t>
  </si>
  <si>
    <t>Patrimonio netto a valori correnti</t>
  </si>
  <si>
    <t>Avviamento</t>
  </si>
  <si>
    <t>Prezzo di acquisto</t>
  </si>
  <si>
    <t>(80000-75760)</t>
  </si>
  <si>
    <t>VALORE DELLA PARTECIPAZIONE CON IL METODO DEL P.N. AL 31/12/20X2</t>
  </si>
  <si>
    <t>Determinazione dell'utile rettificato</t>
  </si>
  <si>
    <t>45000*40%</t>
  </si>
  <si>
    <t>amm.to plusvalenza immobili</t>
  </si>
  <si>
    <t>amm.to plusvalenza impianti</t>
  </si>
  <si>
    <t>8400/20</t>
  </si>
  <si>
    <t>1120/5</t>
  </si>
  <si>
    <t>4240/5</t>
  </si>
  <si>
    <t>Storno utile infragruppo</t>
  </si>
  <si>
    <t xml:space="preserve">n° di pezzi in giacenza della partecipante Beta </t>
  </si>
  <si>
    <t>=11000-10000</t>
  </si>
  <si>
    <t>margine unitario lordo</t>
  </si>
  <si>
    <t>(80-60)</t>
  </si>
  <si>
    <t>margine lordo complessivo</t>
  </si>
  <si>
    <t>(1000*20)</t>
  </si>
  <si>
    <t>effetto fiscale 30%</t>
  </si>
  <si>
    <t>(20000*30%)</t>
  </si>
  <si>
    <t>margine netto complessivo</t>
  </si>
  <si>
    <t>(20000-6000)</t>
  </si>
  <si>
    <t>utile infragruppo di pertinenza di Beta</t>
  </si>
  <si>
    <t>(14000*40%)</t>
  </si>
  <si>
    <t>storno utile infragruppo</t>
  </si>
  <si>
    <t xml:space="preserve">Valore iniziale della partecipazione </t>
  </si>
  <si>
    <t>storno dividendi</t>
  </si>
  <si>
    <t>24000*40%</t>
  </si>
  <si>
    <t xml:space="preserve">Valore finale della partecipazione </t>
  </si>
  <si>
    <t>ESERCIZIO 6</t>
  </si>
  <si>
    <t xml:space="preserve">Data </t>
  </si>
  <si>
    <t>Q. acquistate</t>
  </si>
  <si>
    <t>Q. vendute</t>
  </si>
  <si>
    <t>FIFO</t>
  </si>
  <si>
    <t xml:space="preserve">Quantità in rimanenza </t>
  </si>
  <si>
    <t>(8000+12000+17000+42000-62000-22000)</t>
  </si>
  <si>
    <t>22000*6,5</t>
  </si>
  <si>
    <t>Valore di mercato</t>
  </si>
  <si>
    <t xml:space="preserve">Prezzo </t>
  </si>
  <si>
    <t>provvigioni 20%</t>
  </si>
  <si>
    <t>Prezzo netto delle provvgioni</t>
  </si>
  <si>
    <t>(8*20%)</t>
  </si>
  <si>
    <t>(8-1,6)</t>
  </si>
  <si>
    <t>22000*6,4</t>
  </si>
  <si>
    <t>Valore di mercato compelssivo</t>
  </si>
  <si>
    <t>Valore a bilancio</t>
  </si>
  <si>
    <t>Costo medio ponderato di periodo (si tiene conto delle rimanenze inziali)</t>
  </si>
  <si>
    <t>=8000*5+12000*5,5+17000*5,8+42000*6,1+27000*6,5</t>
  </si>
  <si>
    <t>8000+12000+17000+42000+27000</t>
  </si>
  <si>
    <t>(22000*6,003)</t>
  </si>
  <si>
    <t>LIFO CONTINUO PER MOVIMENTO</t>
  </si>
  <si>
    <t>=8000*5+9000*5,5+5000*6,5</t>
  </si>
  <si>
    <t>Lifo continuo per movimento</t>
  </si>
  <si>
    <t>LIFO DI PERIODO</t>
  </si>
  <si>
    <t>8000*5+12000*5,5+2000*5,8</t>
  </si>
  <si>
    <t>COSTO STORICO</t>
  </si>
  <si>
    <t xml:space="preserve">VITA UTILE </t>
  </si>
  <si>
    <t>10 ANNI</t>
  </si>
  <si>
    <t>VALORE RESIDUO</t>
  </si>
  <si>
    <t>AMM.TO T1</t>
  </si>
  <si>
    <t>acquisto 01/07/T1</t>
  </si>
  <si>
    <t>600000/10=60000/2</t>
  </si>
  <si>
    <t>AMM.TO T2</t>
  </si>
  <si>
    <t>AMM.TO T3</t>
  </si>
  <si>
    <t>F.do ammortamento</t>
  </si>
  <si>
    <t>T1</t>
  </si>
  <si>
    <t>T2</t>
  </si>
  <si>
    <t>T3</t>
  </si>
  <si>
    <t>VALORE NETTO CONTABILE (Costo storico -F.do ammortamento)</t>
  </si>
  <si>
    <t>600000-150000</t>
  </si>
  <si>
    <t>=450000</t>
  </si>
  <si>
    <t>TOTALE</t>
  </si>
  <si>
    <t>RICAVI</t>
  </si>
  <si>
    <t>COSTI VARIABILI</t>
  </si>
  <si>
    <t>COSTI FISSI</t>
  </si>
  <si>
    <t>ONERI FINANZIARI</t>
  </si>
  <si>
    <t>CAPACITA' AMMORTAMENTO</t>
  </si>
  <si>
    <t>AMMORTAMENTO</t>
  </si>
  <si>
    <t>RISULTATO NETTO</t>
  </si>
  <si>
    <t xml:space="preserve">SVALUTAZIONE </t>
  </si>
  <si>
    <t>31/12/T3</t>
  </si>
  <si>
    <t xml:space="preserve">amm.to macchinario </t>
  </si>
  <si>
    <t>CE</t>
  </si>
  <si>
    <t>F.do amm.to macchinario SP</t>
  </si>
  <si>
    <t>Svalutazione macchinario CE</t>
  </si>
  <si>
    <t>F.do svalutazione macchinario SP</t>
  </si>
  <si>
    <t>VALORE NETTO CONTABILE al T3 dopo la svalutazione</t>
  </si>
  <si>
    <t>450000-59000</t>
  </si>
  <si>
    <t>ESERCIZIO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</si>
</sst>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quotePrefix="1"/>
    <xf numFmtId="43" fontId="0" fillId="0" borderId="0" xfId="1" applyFont="1"/>
    <xf numFmtId="43" fontId="0" fillId="0" borderId="2" xfId="1" applyFont="1" applyBorder="1"/>
    <xf numFmtId="16" fontId="0" fillId="0" borderId="0" xfId="0" applyNumberFormat="1"/>
    <xf numFmtId="0" fontId="0" fillId="0" borderId="3" xfId="0" applyBorder="1"/>
    <xf numFmtId="0" fontId="0" fillId="0" borderId="5" xfId="0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4" xfId="0" applyBorder="1"/>
    <xf numFmtId="0" fontId="0" fillId="2" borderId="5" xfId="0" applyFill="1" applyBorder="1"/>
    <xf numFmtId="43" fontId="0" fillId="0" borderId="1" xfId="1" applyFon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2" applyNumberFormat="1" applyFont="1"/>
    <xf numFmtId="164" fontId="2" fillId="0" borderId="0" xfId="0" applyNumberFormat="1" applyFont="1"/>
    <xf numFmtId="0" fontId="0" fillId="0" borderId="1" xfId="0" applyBorder="1" applyAlignment="1">
      <alignment horizontal="center"/>
    </xf>
    <xf numFmtId="9" fontId="0" fillId="0" borderId="0" xfId="0" applyNumberFormat="1"/>
    <xf numFmtId="0" fontId="2" fillId="0" borderId="0" xfId="0" applyFont="1" applyAlignment="1">
      <alignment wrapText="1"/>
    </xf>
    <xf numFmtId="43" fontId="2" fillId="0" borderId="0" xfId="1" applyFont="1"/>
    <xf numFmtId="0" fontId="0" fillId="0" borderId="7" xfId="0" applyBorder="1"/>
    <xf numFmtId="16" fontId="0" fillId="0" borderId="7" xfId="0" applyNumberFormat="1" applyBorder="1"/>
    <xf numFmtId="165" fontId="0" fillId="0" borderId="7" xfId="1" applyNumberFormat="1" applyFont="1" applyBorder="1"/>
    <xf numFmtId="165" fontId="0" fillId="0" borderId="0" xfId="0" applyNumberFormat="1"/>
    <xf numFmtId="43" fontId="0" fillId="2" borderId="0" xfId="1" applyFont="1" applyFill="1"/>
    <xf numFmtId="0" fontId="0" fillId="0" borderId="1" xfId="0" quotePrefix="1" applyBorder="1"/>
    <xf numFmtId="166" fontId="0" fillId="0" borderId="0" xfId="0" applyNumberFormat="1"/>
    <xf numFmtId="0" fontId="0" fillId="2" borderId="0" xfId="0" applyFill="1"/>
    <xf numFmtId="0" fontId="4" fillId="0" borderId="0" xfId="0" applyFont="1"/>
    <xf numFmtId="0" fontId="0" fillId="0" borderId="8" xfId="0" applyBorder="1"/>
    <xf numFmtId="0" fontId="0" fillId="0" borderId="9" xfId="0" applyBorder="1"/>
    <xf numFmtId="43" fontId="0" fillId="0" borderId="0" xfId="1" applyFont="1" applyBorder="1"/>
    <xf numFmtId="0" fontId="2" fillId="0" borderId="10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justify" vertical="center"/>
    </xf>
    <xf numFmtId="3" fontId="0" fillId="0" borderId="13" xfId="0" applyNumberForma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165" fontId="5" fillId="0" borderId="13" xfId="1" applyNumberFormat="1" applyFont="1" applyBorder="1" applyAlignment="1">
      <alignment horizontal="center" vertical="center"/>
    </xf>
    <xf numFmtId="165" fontId="0" fillId="0" borderId="13" xfId="0" applyNumberFormat="1" applyBorder="1" applyAlignment="1">
      <alignment horizontal="justify" vertical="center"/>
    </xf>
    <xf numFmtId="165" fontId="0" fillId="2" borderId="13" xfId="0" applyNumberFormat="1" applyFill="1" applyBorder="1" applyAlignment="1">
      <alignment horizontal="justify" vertical="center"/>
    </xf>
    <xf numFmtId="43" fontId="2" fillId="0" borderId="0" xfId="1" applyFont="1" applyFill="1" applyBorder="1" applyAlignment="1">
      <alignment horizontal="justify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85B6-2E02-46B7-AAC5-8BBC2823A005}">
  <dimension ref="A3:P93"/>
  <sheetViews>
    <sheetView tabSelected="1" zoomScale="200" zoomScaleNormal="200" workbookViewId="0">
      <selection activeCell="C97" sqref="C97"/>
    </sheetView>
  </sheetViews>
  <sheetFormatPr defaultRowHeight="15" x14ac:dyDescent="0.25"/>
  <cols>
    <col min="4" max="4" width="12" customWidth="1"/>
    <col min="8" max="8" width="12.85546875" customWidth="1"/>
    <col min="9" max="10" width="10.7109375" bestFit="1" customWidth="1"/>
  </cols>
  <sheetData>
    <row r="3" spans="1:15" x14ac:dyDescent="0.25">
      <c r="B3" s="1" t="s">
        <v>0</v>
      </c>
    </row>
    <row r="5" spans="1:15" x14ac:dyDescent="0.25">
      <c r="A5" t="s">
        <v>1</v>
      </c>
      <c r="B5" s="2"/>
      <c r="C5" s="2"/>
      <c r="D5" s="2"/>
      <c r="E5" t="s">
        <v>2</v>
      </c>
      <c r="F5" s="2"/>
      <c r="G5" s="2"/>
      <c r="H5" s="2"/>
    </row>
    <row r="6" spans="1:15" x14ac:dyDescent="0.25">
      <c r="B6" t="s">
        <v>3</v>
      </c>
      <c r="E6" t="s">
        <v>4</v>
      </c>
      <c r="F6" t="s">
        <v>5</v>
      </c>
      <c r="I6" s="5">
        <v>2500</v>
      </c>
      <c r="J6" s="6">
        <v>2500</v>
      </c>
    </row>
    <row r="7" spans="1:15" x14ac:dyDescent="0.25">
      <c r="J7" s="3"/>
    </row>
    <row r="8" spans="1:15" x14ac:dyDescent="0.25">
      <c r="J8" s="3"/>
    </row>
    <row r="9" spans="1:15" x14ac:dyDescent="0.25">
      <c r="B9" t="s">
        <v>6</v>
      </c>
      <c r="C9" s="4" t="s">
        <v>7</v>
      </c>
      <c r="E9" t="s">
        <v>8</v>
      </c>
    </row>
    <row r="11" spans="1:15" x14ac:dyDescent="0.25">
      <c r="B11" s="2"/>
      <c r="C11" s="2"/>
      <c r="D11" s="2"/>
      <c r="E11" t="s">
        <v>9</v>
      </c>
      <c r="F11" s="2"/>
      <c r="G11" s="2"/>
      <c r="H11" s="2"/>
    </row>
    <row r="12" spans="1:15" x14ac:dyDescent="0.25">
      <c r="B12" t="s">
        <v>3</v>
      </c>
      <c r="E12" t="s">
        <v>4</v>
      </c>
      <c r="F12" t="s">
        <v>13</v>
      </c>
      <c r="I12" s="5">
        <v>1666.67</v>
      </c>
      <c r="J12" s="6">
        <v>1666.67</v>
      </c>
      <c r="L12" s="10"/>
      <c r="M12" s="11"/>
      <c r="N12" s="8"/>
      <c r="O12" s="9"/>
    </row>
    <row r="13" spans="1:15" x14ac:dyDescent="0.25">
      <c r="K13" s="7">
        <v>45170</v>
      </c>
      <c r="M13" s="7">
        <v>45291</v>
      </c>
      <c r="O13" s="7">
        <v>44986</v>
      </c>
    </row>
    <row r="14" spans="1:15" x14ac:dyDescent="0.25">
      <c r="L14" t="s">
        <v>10</v>
      </c>
    </row>
    <row r="15" spans="1:15" x14ac:dyDescent="0.25">
      <c r="B15" s="2"/>
      <c r="C15" s="2"/>
      <c r="D15" s="2"/>
      <c r="E15" t="s">
        <v>9</v>
      </c>
      <c r="F15" s="2"/>
      <c r="G15" s="2"/>
      <c r="H15" s="2"/>
    </row>
    <row r="16" spans="1:15" x14ac:dyDescent="0.25">
      <c r="B16" t="s">
        <v>15</v>
      </c>
      <c r="E16" t="s">
        <v>4</v>
      </c>
      <c r="F16" t="s">
        <v>3</v>
      </c>
      <c r="I16" s="5">
        <f>2500+1666.67</f>
        <v>4166.67</v>
      </c>
      <c r="J16" s="6">
        <v>4166.67</v>
      </c>
      <c r="L16" t="s">
        <v>11</v>
      </c>
    </row>
    <row r="17" spans="2:12" x14ac:dyDescent="0.25">
      <c r="I17" t="s">
        <v>16</v>
      </c>
      <c r="K17" s="12" t="s">
        <v>12</v>
      </c>
      <c r="L17">
        <f>2500*4/6</f>
        <v>1666.6666666666667</v>
      </c>
    </row>
    <row r="18" spans="2:12" x14ac:dyDescent="0.25">
      <c r="B18" s="2"/>
      <c r="C18" s="2"/>
      <c r="D18" s="2"/>
      <c r="E18" t="s">
        <v>9</v>
      </c>
      <c r="F18" s="2"/>
      <c r="G18" s="2"/>
      <c r="H18" s="2"/>
    </row>
    <row r="19" spans="2:12" x14ac:dyDescent="0.25">
      <c r="B19" t="s">
        <v>17</v>
      </c>
      <c r="E19" s="13" t="s">
        <v>4</v>
      </c>
      <c r="F19" t="s">
        <v>20</v>
      </c>
      <c r="I19" s="5"/>
      <c r="J19" s="6">
        <f>I20+I21</f>
        <v>4166.67</v>
      </c>
    </row>
    <row r="20" spans="2:12" x14ac:dyDescent="0.25">
      <c r="B20" t="s">
        <v>18</v>
      </c>
      <c r="I20" s="5">
        <v>2500</v>
      </c>
      <c r="J20" s="3"/>
    </row>
    <row r="21" spans="2:12" x14ac:dyDescent="0.25">
      <c r="B21" t="s">
        <v>19</v>
      </c>
      <c r="I21" s="5">
        <v>1666.67</v>
      </c>
      <c r="J21" s="3"/>
    </row>
    <row r="23" spans="2:12" x14ac:dyDescent="0.25">
      <c r="B23" s="2"/>
      <c r="C23" s="2"/>
      <c r="D23" s="2"/>
      <c r="E23" t="s">
        <v>9</v>
      </c>
      <c r="F23" s="2"/>
      <c r="G23" s="2"/>
      <c r="H23" s="2"/>
    </row>
    <row r="24" spans="2:12" x14ac:dyDescent="0.25">
      <c r="B24" t="s">
        <v>21</v>
      </c>
      <c r="E24" s="13" t="s">
        <v>4</v>
      </c>
      <c r="F24" t="s">
        <v>14</v>
      </c>
      <c r="I24" s="5">
        <v>4166.67</v>
      </c>
      <c r="J24" s="6">
        <v>4166.67</v>
      </c>
    </row>
    <row r="26" spans="2:12" x14ac:dyDescent="0.25">
      <c r="B26" s="2"/>
      <c r="C26" s="2"/>
      <c r="D26" s="2"/>
      <c r="E26" t="s">
        <v>9</v>
      </c>
      <c r="F26" s="2"/>
      <c r="G26" s="2"/>
      <c r="H26" s="2"/>
    </row>
    <row r="27" spans="2:12" x14ac:dyDescent="0.25">
      <c r="B27" t="s">
        <v>22</v>
      </c>
      <c r="E27" s="13" t="s">
        <v>4</v>
      </c>
      <c r="F27" t="s">
        <v>23</v>
      </c>
      <c r="I27" s="5">
        <v>4166.67</v>
      </c>
      <c r="J27" s="6">
        <v>4166.67</v>
      </c>
    </row>
    <row r="30" spans="2:12" x14ac:dyDescent="0.25">
      <c r="B30" s="2"/>
      <c r="C30" s="2"/>
      <c r="D30" s="2"/>
      <c r="E30" t="s">
        <v>24</v>
      </c>
      <c r="F30" s="2"/>
      <c r="G30" s="2"/>
      <c r="H30" s="2"/>
    </row>
    <row r="31" spans="2:12" x14ac:dyDescent="0.25">
      <c r="B31" t="s">
        <v>25</v>
      </c>
      <c r="E31" s="13" t="s">
        <v>4</v>
      </c>
      <c r="F31" t="s">
        <v>17</v>
      </c>
      <c r="I31" s="5">
        <v>4166.67</v>
      </c>
      <c r="J31" s="6"/>
    </row>
    <row r="32" spans="2:12" x14ac:dyDescent="0.25">
      <c r="F32" t="s">
        <v>26</v>
      </c>
      <c r="I32" s="5"/>
      <c r="J32" s="6">
        <v>2500</v>
      </c>
    </row>
    <row r="33" spans="1:10" x14ac:dyDescent="0.25">
      <c r="F33" t="s">
        <v>19</v>
      </c>
      <c r="I33" s="5"/>
      <c r="J33" s="3">
        <v>1666.67</v>
      </c>
    </row>
    <row r="35" spans="1:10" x14ac:dyDescent="0.25">
      <c r="B35" s="2"/>
      <c r="C35" s="2"/>
      <c r="D35" s="2"/>
      <c r="E35" t="s">
        <v>27</v>
      </c>
      <c r="F35" s="2"/>
      <c r="G35" s="2"/>
      <c r="H35" s="2"/>
    </row>
    <row r="36" spans="1:10" x14ac:dyDescent="0.25">
      <c r="B36" t="s">
        <v>17</v>
      </c>
      <c r="E36" s="13" t="s">
        <v>4</v>
      </c>
      <c r="F36" t="s">
        <v>26</v>
      </c>
      <c r="I36" s="5"/>
      <c r="J36" s="6">
        <v>2500</v>
      </c>
    </row>
    <row r="37" spans="1:10" x14ac:dyDescent="0.25">
      <c r="B37" t="s">
        <v>19</v>
      </c>
      <c r="I37" s="5">
        <v>1666.67</v>
      </c>
      <c r="J37" s="6"/>
    </row>
    <row r="38" spans="1:10" x14ac:dyDescent="0.25">
      <c r="B38" t="s">
        <v>28</v>
      </c>
      <c r="I38" s="5">
        <f>J36-I37</f>
        <v>833.32999999999993</v>
      </c>
      <c r="J38" s="3"/>
    </row>
    <row r="41" spans="1:10" x14ac:dyDescent="0.25">
      <c r="A41" t="s">
        <v>29</v>
      </c>
      <c r="B41" s="2"/>
      <c r="C41" s="2"/>
      <c r="D41" s="2"/>
      <c r="E41" t="s">
        <v>9</v>
      </c>
      <c r="F41" s="2"/>
      <c r="G41" s="2"/>
      <c r="H41" s="2"/>
    </row>
    <row r="42" spans="1:10" x14ac:dyDescent="0.25">
      <c r="B42" t="s">
        <v>30</v>
      </c>
      <c r="E42" s="13" t="s">
        <v>4</v>
      </c>
      <c r="F42" t="s">
        <v>31</v>
      </c>
      <c r="I42" s="5">
        <v>6000</v>
      </c>
      <c r="J42" s="6">
        <v>6000</v>
      </c>
    </row>
    <row r="44" spans="1:10" x14ac:dyDescent="0.25">
      <c r="B44" s="2"/>
      <c r="C44" s="2"/>
      <c r="D44" s="2"/>
      <c r="E44" t="s">
        <v>9</v>
      </c>
      <c r="F44" s="2"/>
      <c r="G44" s="2"/>
      <c r="H44" s="2"/>
    </row>
    <row r="45" spans="1:10" x14ac:dyDescent="0.25">
      <c r="B45" t="s">
        <v>14</v>
      </c>
      <c r="E45" s="13" t="s">
        <v>4</v>
      </c>
      <c r="F45" t="s">
        <v>30</v>
      </c>
      <c r="I45" s="5">
        <v>6000</v>
      </c>
      <c r="J45" s="6">
        <v>6000</v>
      </c>
    </row>
    <row r="47" spans="1:10" x14ac:dyDescent="0.25">
      <c r="B47" s="2"/>
      <c r="C47" s="2"/>
      <c r="D47" s="2"/>
      <c r="E47" t="s">
        <v>9</v>
      </c>
      <c r="F47" s="2"/>
      <c r="G47" s="2"/>
      <c r="H47" s="2"/>
    </row>
    <row r="48" spans="1:10" x14ac:dyDescent="0.25">
      <c r="B48" t="s">
        <v>32</v>
      </c>
      <c r="E48" s="13" t="s">
        <v>4</v>
      </c>
      <c r="F48" t="s">
        <v>20</v>
      </c>
      <c r="I48" s="5">
        <v>6000</v>
      </c>
      <c r="J48" s="6">
        <v>6000</v>
      </c>
    </row>
    <row r="50" spans="2:10" x14ac:dyDescent="0.25">
      <c r="B50" s="2"/>
      <c r="C50" s="2"/>
      <c r="D50" s="2"/>
      <c r="E50" t="s">
        <v>9</v>
      </c>
      <c r="F50" s="2"/>
      <c r="G50" s="2"/>
      <c r="H50" s="2"/>
    </row>
    <row r="51" spans="2:10" x14ac:dyDescent="0.25">
      <c r="B51" t="s">
        <v>23</v>
      </c>
      <c r="E51" s="13" t="s">
        <v>4</v>
      </c>
      <c r="F51" t="s">
        <v>14</v>
      </c>
      <c r="I51" s="5">
        <v>6000</v>
      </c>
      <c r="J51" s="6">
        <v>6000</v>
      </c>
    </row>
    <row r="53" spans="2:10" x14ac:dyDescent="0.25">
      <c r="B53" s="2"/>
      <c r="C53" s="2"/>
      <c r="D53" s="2"/>
      <c r="E53" t="s">
        <v>9</v>
      </c>
      <c r="F53" s="2"/>
      <c r="G53" s="2"/>
      <c r="H53" s="2"/>
    </row>
    <row r="54" spans="2:10" x14ac:dyDescent="0.25">
      <c r="B54" t="s">
        <v>22</v>
      </c>
      <c r="E54" s="13" t="s">
        <v>4</v>
      </c>
      <c r="F54" t="s">
        <v>23</v>
      </c>
      <c r="I54" s="5">
        <v>6000</v>
      </c>
      <c r="J54" s="6">
        <v>6000</v>
      </c>
    </row>
    <row r="56" spans="2:10" x14ac:dyDescent="0.25">
      <c r="B56" s="2"/>
      <c r="C56" s="2"/>
      <c r="D56" s="2"/>
      <c r="E56" t="s">
        <v>24</v>
      </c>
      <c r="F56" s="2"/>
      <c r="G56" s="2"/>
      <c r="H56" s="2"/>
    </row>
    <row r="57" spans="2:10" x14ac:dyDescent="0.25">
      <c r="B57" t="s">
        <v>33</v>
      </c>
      <c r="E57" s="13" t="s">
        <v>4</v>
      </c>
      <c r="F57" t="s">
        <v>34</v>
      </c>
      <c r="I57" s="5">
        <v>6000</v>
      </c>
      <c r="J57" s="6">
        <v>6000</v>
      </c>
    </row>
    <row r="59" spans="2:10" x14ac:dyDescent="0.25">
      <c r="B59" s="2"/>
      <c r="C59" s="2"/>
      <c r="D59" s="2"/>
      <c r="E59" t="s">
        <v>35</v>
      </c>
      <c r="F59" s="2"/>
      <c r="G59" s="2"/>
      <c r="H59" s="2"/>
    </row>
    <row r="60" spans="2:10" x14ac:dyDescent="0.25">
      <c r="B60" t="s">
        <v>17</v>
      </c>
      <c r="E60" s="13" t="s">
        <v>4</v>
      </c>
      <c r="F60" t="s">
        <v>36</v>
      </c>
      <c r="I60" s="5"/>
      <c r="J60" s="6">
        <v>7320</v>
      </c>
    </row>
    <row r="61" spans="2:10" x14ac:dyDescent="0.25">
      <c r="B61" t="s">
        <v>37</v>
      </c>
      <c r="I61" s="5">
        <v>6000</v>
      </c>
      <c r="J61" s="3"/>
    </row>
    <row r="62" spans="2:10" x14ac:dyDescent="0.25">
      <c r="B62" t="s">
        <v>38</v>
      </c>
      <c r="I62" s="5">
        <f>I61*22%</f>
        <v>1320</v>
      </c>
      <c r="J62" s="3"/>
    </row>
    <row r="65" spans="1:16" x14ac:dyDescent="0.25">
      <c r="A65" t="s">
        <v>39</v>
      </c>
      <c r="E65" t="s">
        <v>40</v>
      </c>
    </row>
    <row r="66" spans="1:16" x14ac:dyDescent="0.25">
      <c r="B66" s="14" t="s">
        <v>41</v>
      </c>
      <c r="C66" s="14"/>
      <c r="D66" s="14"/>
      <c r="E66" s="13" t="s">
        <v>4</v>
      </c>
      <c r="F66" s="14" t="s">
        <v>43</v>
      </c>
      <c r="G66" s="14"/>
      <c r="H66" s="14"/>
      <c r="I66" s="5">
        <v>10000</v>
      </c>
      <c r="J66" s="6">
        <v>10000</v>
      </c>
      <c r="M66" s="8"/>
      <c r="N66" s="15"/>
      <c r="O66" s="10"/>
      <c r="P66" s="16"/>
    </row>
    <row r="67" spans="1:16" x14ac:dyDescent="0.25">
      <c r="L67" s="7">
        <v>45200</v>
      </c>
      <c r="N67" s="7">
        <v>45291</v>
      </c>
      <c r="P67" s="7">
        <v>45199</v>
      </c>
    </row>
    <row r="68" spans="1:16" x14ac:dyDescent="0.25">
      <c r="E68" t="s">
        <v>9</v>
      </c>
      <c r="L68" t="s">
        <v>44</v>
      </c>
    </row>
    <row r="69" spans="1:16" x14ac:dyDescent="0.25">
      <c r="B69" s="14" t="s">
        <v>43</v>
      </c>
      <c r="C69" s="14"/>
      <c r="D69" s="14"/>
      <c r="E69" s="13" t="s">
        <v>4</v>
      </c>
      <c r="F69" s="14" t="s">
        <v>47</v>
      </c>
      <c r="G69" s="14"/>
      <c r="H69" s="14"/>
      <c r="I69" s="5">
        <v>7500</v>
      </c>
      <c r="J69" s="6">
        <v>7500</v>
      </c>
    </row>
    <row r="70" spans="1:16" x14ac:dyDescent="0.25">
      <c r="M70" t="s">
        <v>45</v>
      </c>
    </row>
    <row r="71" spans="1:16" x14ac:dyDescent="0.25">
      <c r="E71" t="s">
        <v>9</v>
      </c>
      <c r="M71" t="s">
        <v>46</v>
      </c>
    </row>
    <row r="72" spans="1:16" x14ac:dyDescent="0.25">
      <c r="B72" s="14" t="s">
        <v>43</v>
      </c>
      <c r="C72" s="14"/>
      <c r="D72" s="14"/>
      <c r="E72" s="13" t="s">
        <v>4</v>
      </c>
      <c r="F72" s="14" t="s">
        <v>48</v>
      </c>
      <c r="G72" s="14"/>
      <c r="H72" s="14"/>
      <c r="I72" s="5">
        <v>2500</v>
      </c>
      <c r="J72" s="6">
        <v>2500</v>
      </c>
      <c r="M72">
        <f>10000*9/12</f>
        <v>7500</v>
      </c>
    </row>
    <row r="74" spans="1:16" x14ac:dyDescent="0.25">
      <c r="E74" t="s">
        <v>9</v>
      </c>
    </row>
    <row r="75" spans="1:16" x14ac:dyDescent="0.25">
      <c r="B75" s="14" t="s">
        <v>20</v>
      </c>
      <c r="C75" s="14"/>
      <c r="D75" s="14"/>
      <c r="E75" s="13" t="s">
        <v>4</v>
      </c>
      <c r="F75" s="14" t="s">
        <v>26</v>
      </c>
      <c r="G75" s="14"/>
      <c r="H75" s="14"/>
      <c r="I75" s="5">
        <v>10000</v>
      </c>
      <c r="J75" s="6">
        <v>10000</v>
      </c>
    </row>
    <row r="77" spans="1:16" x14ac:dyDescent="0.25">
      <c r="E77" t="s">
        <v>9</v>
      </c>
    </row>
    <row r="78" spans="1:16" x14ac:dyDescent="0.25">
      <c r="B78" s="14" t="s">
        <v>49</v>
      </c>
      <c r="C78" s="14"/>
      <c r="D78" s="14"/>
      <c r="E78" s="13" t="s">
        <v>4</v>
      </c>
      <c r="F78" s="14" t="s">
        <v>20</v>
      </c>
      <c r="G78" s="14"/>
      <c r="H78" s="14"/>
      <c r="I78" s="5">
        <v>7500</v>
      </c>
      <c r="J78" s="6">
        <v>7500</v>
      </c>
    </row>
    <row r="80" spans="1:16" x14ac:dyDescent="0.25">
      <c r="E80" t="s">
        <v>9</v>
      </c>
    </row>
    <row r="81" spans="2:10" x14ac:dyDescent="0.25">
      <c r="B81" s="14" t="s">
        <v>50</v>
      </c>
      <c r="C81" s="14"/>
      <c r="D81" s="14"/>
      <c r="E81" s="13" t="s">
        <v>4</v>
      </c>
      <c r="F81" s="14" t="s">
        <v>51</v>
      </c>
      <c r="G81" s="14"/>
      <c r="H81" s="14"/>
      <c r="I81" s="5">
        <v>2500</v>
      </c>
      <c r="J81" s="6">
        <v>2500</v>
      </c>
    </row>
    <row r="83" spans="2:10" x14ac:dyDescent="0.25">
      <c r="E83" t="s">
        <v>9</v>
      </c>
    </row>
    <row r="84" spans="2:10" x14ac:dyDescent="0.25">
      <c r="B84" s="14" t="s">
        <v>52</v>
      </c>
      <c r="C84" s="14"/>
      <c r="D84" s="14"/>
      <c r="E84" s="13" t="s">
        <v>4</v>
      </c>
      <c r="F84" s="14" t="s">
        <v>20</v>
      </c>
      <c r="G84" s="14"/>
      <c r="H84" s="14"/>
      <c r="I84" s="5">
        <v>2500</v>
      </c>
      <c r="J84" s="6">
        <v>2500</v>
      </c>
    </row>
    <row r="86" spans="2:10" x14ac:dyDescent="0.25">
      <c r="E86" t="s">
        <v>24</v>
      </c>
    </row>
    <row r="87" spans="2:10" x14ac:dyDescent="0.25">
      <c r="B87" s="14" t="s">
        <v>26</v>
      </c>
      <c r="C87" s="14"/>
      <c r="D87" s="14"/>
      <c r="E87" s="13" t="s">
        <v>4</v>
      </c>
      <c r="F87" s="14" t="s">
        <v>25</v>
      </c>
      <c r="G87" s="14"/>
      <c r="H87" s="14"/>
      <c r="I87" s="5">
        <v>10000</v>
      </c>
      <c r="J87" s="6">
        <v>10000</v>
      </c>
    </row>
    <row r="89" spans="2:10" x14ac:dyDescent="0.25">
      <c r="E89" t="s">
        <v>53</v>
      </c>
    </row>
    <row r="90" spans="2:10" x14ac:dyDescent="0.25">
      <c r="B90" s="14" t="s">
        <v>25</v>
      </c>
      <c r="C90" s="14"/>
      <c r="D90" s="14"/>
      <c r="E90" s="13" t="s">
        <v>4</v>
      </c>
      <c r="F90" s="14" t="s">
        <v>49</v>
      </c>
      <c r="G90" s="14"/>
      <c r="H90" s="14"/>
      <c r="I90" s="5">
        <v>7500</v>
      </c>
      <c r="J90" s="6">
        <v>7500</v>
      </c>
    </row>
    <row r="92" spans="2:10" x14ac:dyDescent="0.25">
      <c r="E92" t="s">
        <v>53</v>
      </c>
    </row>
    <row r="93" spans="2:10" x14ac:dyDescent="0.25">
      <c r="B93" s="14" t="s">
        <v>49</v>
      </c>
      <c r="C93" s="14"/>
      <c r="D93" s="14"/>
      <c r="E93" s="13" t="s">
        <v>4</v>
      </c>
      <c r="F93" s="14" t="s">
        <v>42</v>
      </c>
      <c r="G93" s="14"/>
      <c r="H93" s="14"/>
      <c r="I93" s="5">
        <v>7500</v>
      </c>
      <c r="J93" s="6">
        <v>7500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CAAB1-DC51-46AB-BC33-AAF0FB644911}">
  <dimension ref="A3:L20"/>
  <sheetViews>
    <sheetView topLeftCell="A10" zoomScale="200" zoomScaleNormal="200" workbookViewId="0">
      <selection activeCell="G19" sqref="G19"/>
    </sheetView>
  </sheetViews>
  <sheetFormatPr defaultRowHeight="15" x14ac:dyDescent="0.25"/>
  <cols>
    <col min="6" max="6" width="15" bestFit="1" customWidth="1"/>
    <col min="11" max="11" width="11.7109375" bestFit="1" customWidth="1"/>
  </cols>
  <sheetData>
    <row r="3" spans="1:12" x14ac:dyDescent="0.25">
      <c r="B3" t="s">
        <v>54</v>
      </c>
    </row>
    <row r="5" spans="1:12" x14ac:dyDescent="0.25">
      <c r="B5" t="s">
        <v>55</v>
      </c>
    </row>
    <row r="7" spans="1:12" x14ac:dyDescent="0.25">
      <c r="B7" t="s">
        <v>56</v>
      </c>
      <c r="D7" t="s">
        <v>57</v>
      </c>
      <c r="F7" s="5">
        <f>100000*0.8</f>
        <v>80000</v>
      </c>
      <c r="I7" t="s">
        <v>61</v>
      </c>
    </row>
    <row r="8" spans="1:12" x14ac:dyDescent="0.25">
      <c r="A8" t="s">
        <v>58</v>
      </c>
      <c r="B8" t="s">
        <v>59</v>
      </c>
      <c r="D8" t="s">
        <v>67</v>
      </c>
      <c r="F8" s="5">
        <f>270000*0.03</f>
        <v>8100</v>
      </c>
      <c r="I8" t="s">
        <v>62</v>
      </c>
      <c r="K8" s="5">
        <v>360000</v>
      </c>
    </row>
    <row r="9" spans="1:12" x14ac:dyDescent="0.25">
      <c r="A9" t="s">
        <v>58</v>
      </c>
      <c r="B9" t="s">
        <v>60</v>
      </c>
      <c r="D9" t="s">
        <v>68</v>
      </c>
      <c r="F9" s="17">
        <f>30000*20%</f>
        <v>6000</v>
      </c>
      <c r="I9" t="s">
        <v>63</v>
      </c>
      <c r="K9" s="5">
        <f>360000*0.25</f>
        <v>90000</v>
      </c>
      <c r="L9" t="s">
        <v>64</v>
      </c>
    </row>
    <row r="10" spans="1:12" x14ac:dyDescent="0.25">
      <c r="K10" s="5"/>
    </row>
    <row r="11" spans="1:12" x14ac:dyDescent="0.25">
      <c r="B11" t="s">
        <v>69</v>
      </c>
      <c r="F11" s="18">
        <f>F7-F8-F9</f>
        <v>65900</v>
      </c>
      <c r="I11" t="s">
        <v>61</v>
      </c>
      <c r="K11" s="5">
        <f>K8-K9</f>
        <v>270000</v>
      </c>
    </row>
    <row r="13" spans="1:12" x14ac:dyDescent="0.25">
      <c r="I13" t="s">
        <v>65</v>
      </c>
      <c r="K13" t="s">
        <v>66</v>
      </c>
    </row>
    <row r="14" spans="1:12" x14ac:dyDescent="0.25">
      <c r="B14" t="s">
        <v>70</v>
      </c>
      <c r="K14" s="5">
        <f>800000-500000-270000</f>
        <v>30000</v>
      </c>
    </row>
    <row r="16" spans="1:12" x14ac:dyDescent="0.25">
      <c r="B16" t="s">
        <v>71</v>
      </c>
      <c r="F16" s="5">
        <v>960000</v>
      </c>
    </row>
    <row r="17" spans="1:7" x14ac:dyDescent="0.25">
      <c r="A17" t="s">
        <v>72</v>
      </c>
      <c r="B17" t="s">
        <v>75</v>
      </c>
      <c r="F17" s="5">
        <v>65900</v>
      </c>
    </row>
    <row r="18" spans="1:7" x14ac:dyDescent="0.25">
      <c r="A18" t="s">
        <v>58</v>
      </c>
      <c r="B18" t="s">
        <v>73</v>
      </c>
      <c r="D18" t="s">
        <v>74</v>
      </c>
      <c r="F18" s="5">
        <f>30000*0.8</f>
        <v>24000</v>
      </c>
    </row>
    <row r="19" spans="1:7" x14ac:dyDescent="0.25">
      <c r="F19" s="2"/>
    </row>
    <row r="20" spans="1:7" x14ac:dyDescent="0.25">
      <c r="B20" t="s">
        <v>76</v>
      </c>
      <c r="F20" s="18">
        <f>F16+F17-F18</f>
        <v>1001900</v>
      </c>
      <c r="G20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4210A-8D1F-404E-81A1-5561284BA9AE}">
  <dimension ref="B3:K18"/>
  <sheetViews>
    <sheetView topLeftCell="B1" zoomScale="200" zoomScaleNormal="200" workbookViewId="0">
      <selection activeCell="C5" sqref="C5"/>
    </sheetView>
  </sheetViews>
  <sheetFormatPr defaultRowHeight="15" x14ac:dyDescent="0.25"/>
  <cols>
    <col min="2" max="2" width="29.7109375" customWidth="1"/>
    <col min="3" max="3" width="16.140625" customWidth="1"/>
    <col min="4" max="4" width="21.28515625" customWidth="1"/>
    <col min="5" max="5" width="13.42578125" customWidth="1"/>
    <col min="6" max="6" width="12.28515625" bestFit="1" customWidth="1"/>
    <col min="10" max="10" width="12.28515625" bestFit="1" customWidth="1"/>
  </cols>
  <sheetData>
    <row r="3" spans="2:11" x14ac:dyDescent="0.25">
      <c r="B3" t="s">
        <v>78</v>
      </c>
    </row>
    <row r="6" spans="2:11" x14ac:dyDescent="0.25">
      <c r="C6" s="19" t="s">
        <v>80</v>
      </c>
      <c r="D6" s="19" t="s">
        <v>81</v>
      </c>
      <c r="E6" s="19" t="s">
        <v>82</v>
      </c>
      <c r="H6" s="19" t="s">
        <v>88</v>
      </c>
    </row>
    <row r="7" spans="2:11" x14ac:dyDescent="0.25">
      <c r="B7" t="s">
        <v>79</v>
      </c>
      <c r="E7" s="5">
        <v>250000</v>
      </c>
      <c r="H7" t="s">
        <v>89</v>
      </c>
      <c r="J7" s="20">
        <v>250000</v>
      </c>
    </row>
    <row r="8" spans="2:11" x14ac:dyDescent="0.25">
      <c r="B8" t="s">
        <v>83</v>
      </c>
      <c r="C8" s="5">
        <v>-40000</v>
      </c>
      <c r="D8" s="20">
        <v>-75000</v>
      </c>
      <c r="E8" s="5">
        <v>-80000</v>
      </c>
      <c r="H8" t="s">
        <v>90</v>
      </c>
      <c r="J8" s="21">
        <f>40000+60000+67500</f>
        <v>167500</v>
      </c>
      <c r="K8" t="s">
        <v>92</v>
      </c>
    </row>
    <row r="9" spans="2:11" x14ac:dyDescent="0.25">
      <c r="B9" t="s">
        <v>84</v>
      </c>
      <c r="C9" s="5">
        <v>59701.49</v>
      </c>
      <c r="D9" s="22">
        <f>D15+D14</f>
        <v>87734.407435897447</v>
      </c>
      <c r="E9" s="5">
        <v>-147435.9</v>
      </c>
      <c r="H9" t="s">
        <v>91</v>
      </c>
      <c r="J9" s="22">
        <f>J7-J8</f>
        <v>82500</v>
      </c>
    </row>
    <row r="10" spans="2:11" x14ac:dyDescent="0.25">
      <c r="C10" s="2"/>
      <c r="D10" s="25" t="s">
        <v>102</v>
      </c>
      <c r="E10" s="2"/>
    </row>
    <row r="11" spans="2:11" x14ac:dyDescent="0.25">
      <c r="B11" s="1" t="s">
        <v>85</v>
      </c>
      <c r="C11" s="24">
        <f>C7+C8+C9</f>
        <v>19701.489999999998</v>
      </c>
      <c r="D11" s="24">
        <f>D7+D8+D9</f>
        <v>12734.407435897447</v>
      </c>
      <c r="E11" s="24">
        <f>E7+E8+E9</f>
        <v>22564.100000000006</v>
      </c>
      <c r="F11" s="24">
        <f>C11+D11+E11</f>
        <v>54999.99743589745</v>
      </c>
      <c r="G11" t="s">
        <v>103</v>
      </c>
    </row>
    <row r="12" spans="2:11" x14ac:dyDescent="0.25">
      <c r="H12" s="1" t="s">
        <v>95</v>
      </c>
    </row>
    <row r="13" spans="2:11" x14ac:dyDescent="0.25">
      <c r="H13" t="s">
        <v>93</v>
      </c>
      <c r="J13" s="5">
        <v>250000</v>
      </c>
    </row>
    <row r="14" spans="2:11" x14ac:dyDescent="0.25">
      <c r="B14" t="s">
        <v>98</v>
      </c>
      <c r="C14">
        <v>0</v>
      </c>
      <c r="D14" s="5">
        <v>-59701.49</v>
      </c>
      <c r="E14">
        <v>-147435.9</v>
      </c>
      <c r="H14" t="s">
        <v>90</v>
      </c>
      <c r="J14" s="17">
        <f>40000+75000+80000</f>
        <v>195000</v>
      </c>
      <c r="K14" t="s">
        <v>94</v>
      </c>
    </row>
    <row r="15" spans="2:11" x14ac:dyDescent="0.25">
      <c r="B15" t="s">
        <v>99</v>
      </c>
      <c r="C15" s="5">
        <f>250000*C17</f>
        <v>59701.492537313432</v>
      </c>
      <c r="D15" s="5">
        <f>250000*D17</f>
        <v>147435.89743589744</v>
      </c>
      <c r="E15">
        <v>0</v>
      </c>
      <c r="H15" t="s">
        <v>91</v>
      </c>
      <c r="J15" s="5">
        <f>J13-J14</f>
        <v>55000</v>
      </c>
    </row>
    <row r="16" spans="2:11" x14ac:dyDescent="0.25">
      <c r="C16" t="s">
        <v>97</v>
      </c>
      <c r="D16" t="s">
        <v>101</v>
      </c>
    </row>
    <row r="17" spans="2:5" x14ac:dyDescent="0.25">
      <c r="B17" t="s">
        <v>86</v>
      </c>
      <c r="C17" s="23">
        <f>40000/167500</f>
        <v>0.23880597014925373</v>
      </c>
      <c r="D17" s="23">
        <f>(40000+75000)/195000</f>
        <v>0.58974358974358976</v>
      </c>
      <c r="E17" s="26">
        <v>1</v>
      </c>
    </row>
    <row r="18" spans="2:5" x14ac:dyDescent="0.25">
      <c r="B18" t="s">
        <v>87</v>
      </c>
      <c r="C18" t="s">
        <v>96</v>
      </c>
      <c r="D18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DA47-F707-42FC-A7B6-395C4FDA5C2E}">
  <dimension ref="A2:I53"/>
  <sheetViews>
    <sheetView zoomScale="200" zoomScaleNormal="200" workbookViewId="0">
      <selection activeCell="B56" sqref="B56"/>
    </sheetView>
  </sheetViews>
  <sheetFormatPr defaultRowHeight="15" x14ac:dyDescent="0.25"/>
  <cols>
    <col min="2" max="2" width="26.7109375" customWidth="1"/>
    <col min="3" max="3" width="12.28515625" bestFit="1" customWidth="1"/>
    <col min="4" max="4" width="11.42578125" customWidth="1"/>
    <col min="5" max="5" width="12.7109375" customWidth="1"/>
    <col min="7" max="7" width="11.7109375" bestFit="1" customWidth="1"/>
  </cols>
  <sheetData>
    <row r="2" spans="2:9" x14ac:dyDescent="0.25">
      <c r="B2" t="s">
        <v>104</v>
      </c>
    </row>
    <row r="4" spans="2:9" x14ac:dyDescent="0.25">
      <c r="B4" t="s">
        <v>105</v>
      </c>
    </row>
    <row r="7" spans="2:9" x14ac:dyDescent="0.25">
      <c r="B7" t="s">
        <v>106</v>
      </c>
      <c r="E7" s="5">
        <f>160000*40%</f>
        <v>64000</v>
      </c>
      <c r="G7" t="s">
        <v>108</v>
      </c>
      <c r="I7" t="s">
        <v>107</v>
      </c>
    </row>
    <row r="8" spans="2:9" x14ac:dyDescent="0.25">
      <c r="B8" t="s">
        <v>121</v>
      </c>
      <c r="E8" s="5">
        <v>8400</v>
      </c>
    </row>
    <row r="9" spans="2:9" x14ac:dyDescent="0.25">
      <c r="B9" t="s">
        <v>122</v>
      </c>
      <c r="E9" s="5">
        <v>2240</v>
      </c>
    </row>
    <row r="10" spans="2:9" x14ac:dyDescent="0.25">
      <c r="B10" t="s">
        <v>123</v>
      </c>
      <c r="E10" s="5">
        <v>1120</v>
      </c>
    </row>
    <row r="11" spans="2:9" x14ac:dyDescent="0.25">
      <c r="B11" s="1" t="s">
        <v>124</v>
      </c>
      <c r="C11" s="1"/>
      <c r="D11" s="1"/>
      <c r="E11" s="28">
        <f>E7+E8+E9+E10</f>
        <v>75760</v>
      </c>
    </row>
    <row r="12" spans="2:9" x14ac:dyDescent="0.25">
      <c r="B12" t="s">
        <v>125</v>
      </c>
      <c r="E12" s="5">
        <f>E13-E11</f>
        <v>4240</v>
      </c>
      <c r="F12" t="s">
        <v>127</v>
      </c>
    </row>
    <row r="13" spans="2:9" x14ac:dyDescent="0.25">
      <c r="B13" t="s">
        <v>126</v>
      </c>
      <c r="E13" s="28">
        <v>80000</v>
      </c>
    </row>
    <row r="14" spans="2:9" x14ac:dyDescent="0.25">
      <c r="E14" s="5"/>
    </row>
    <row r="16" spans="2:9" x14ac:dyDescent="0.25">
      <c r="C16" s="13" t="s">
        <v>111</v>
      </c>
      <c r="D16" s="13" t="s">
        <v>112</v>
      </c>
      <c r="E16" s="13" t="s">
        <v>113</v>
      </c>
    </row>
    <row r="18" spans="2:8" x14ac:dyDescent="0.25">
      <c r="B18" t="s">
        <v>109</v>
      </c>
      <c r="C18" s="5">
        <v>250000</v>
      </c>
      <c r="D18" s="5">
        <v>50000</v>
      </c>
      <c r="E18" s="5">
        <v>130000</v>
      </c>
      <c r="F18" s="5"/>
      <c r="H18" s="5"/>
    </row>
    <row r="19" spans="2:8" x14ac:dyDescent="0.25">
      <c r="B19" t="s">
        <v>110</v>
      </c>
      <c r="C19" s="5">
        <v>220000</v>
      </c>
      <c r="D19" s="5">
        <v>42000</v>
      </c>
      <c r="E19" s="5">
        <v>126000</v>
      </c>
    </row>
    <row r="20" spans="2:8" x14ac:dyDescent="0.25">
      <c r="B20" t="s">
        <v>114</v>
      </c>
      <c r="C20" s="18">
        <f>C18-C19</f>
        <v>30000</v>
      </c>
      <c r="D20" s="18">
        <f>D18-D19</f>
        <v>8000</v>
      </c>
      <c r="E20" s="18">
        <f>E18-E19</f>
        <v>4000</v>
      </c>
    </row>
    <row r="21" spans="2:8" x14ac:dyDescent="0.25">
      <c r="B21" t="s">
        <v>116</v>
      </c>
      <c r="C21" s="18">
        <f>C20*30%</f>
        <v>9000</v>
      </c>
      <c r="D21" s="18">
        <f>D20*30%</f>
        <v>2400</v>
      </c>
      <c r="E21" s="18">
        <f>E20*30%</f>
        <v>1200</v>
      </c>
    </row>
    <row r="22" spans="2:8" x14ac:dyDescent="0.25">
      <c r="C22" s="14"/>
      <c r="D22" s="14"/>
      <c r="E22" s="14"/>
    </row>
    <row r="23" spans="2:8" x14ac:dyDescent="0.25">
      <c r="B23" t="s">
        <v>115</v>
      </c>
      <c r="C23" s="18">
        <f>C20-C21</f>
        <v>21000</v>
      </c>
      <c r="D23" s="18">
        <f>D20-D21</f>
        <v>5600</v>
      </c>
      <c r="E23" s="18">
        <f>E20-E21</f>
        <v>2800</v>
      </c>
    </row>
    <row r="24" spans="2:8" ht="30" x14ac:dyDescent="0.25">
      <c r="B24" s="27" t="s">
        <v>117</v>
      </c>
      <c r="C24" s="28">
        <f>C23*40%</f>
        <v>8400</v>
      </c>
      <c r="D24" s="28">
        <f>D23*40%</f>
        <v>2240</v>
      </c>
      <c r="E24" s="28">
        <f>2800*40%</f>
        <v>1120</v>
      </c>
    </row>
    <row r="25" spans="2:8" x14ac:dyDescent="0.25">
      <c r="C25" t="s">
        <v>118</v>
      </c>
      <c r="D25" t="s">
        <v>119</v>
      </c>
      <c r="E25" t="s">
        <v>120</v>
      </c>
    </row>
    <row r="28" spans="2:8" x14ac:dyDescent="0.25">
      <c r="B28" s="1" t="s">
        <v>128</v>
      </c>
    </row>
    <row r="30" spans="2:8" x14ac:dyDescent="0.25">
      <c r="B30" t="s">
        <v>129</v>
      </c>
      <c r="E30" s="5"/>
    </row>
    <row r="31" spans="2:8" x14ac:dyDescent="0.25">
      <c r="E31" s="5"/>
    </row>
    <row r="32" spans="2:8" x14ac:dyDescent="0.25">
      <c r="B32" t="s">
        <v>51</v>
      </c>
      <c r="C32" t="s">
        <v>130</v>
      </c>
      <c r="E32" s="5">
        <f>45000*40%</f>
        <v>18000</v>
      </c>
    </row>
    <row r="33" spans="1:6" x14ac:dyDescent="0.25">
      <c r="A33" t="s">
        <v>58</v>
      </c>
      <c r="B33" t="s">
        <v>131</v>
      </c>
      <c r="C33" t="s">
        <v>133</v>
      </c>
      <c r="E33" s="5">
        <f>8400/20</f>
        <v>420</v>
      </c>
    </row>
    <row r="34" spans="1:6" x14ac:dyDescent="0.25">
      <c r="A34" t="s">
        <v>58</v>
      </c>
      <c r="B34" t="s">
        <v>132</v>
      </c>
      <c r="C34" t="s">
        <v>134</v>
      </c>
      <c r="E34" s="5">
        <f>1120/5</f>
        <v>224</v>
      </c>
    </row>
    <row r="35" spans="1:6" x14ac:dyDescent="0.25">
      <c r="A35" t="s">
        <v>58</v>
      </c>
      <c r="B35" t="s">
        <v>60</v>
      </c>
      <c r="C35" t="s">
        <v>135</v>
      </c>
      <c r="E35" s="5">
        <f>4240/5</f>
        <v>848</v>
      </c>
    </row>
    <row r="36" spans="1:6" x14ac:dyDescent="0.25">
      <c r="A36" t="s">
        <v>58</v>
      </c>
      <c r="B36" t="s">
        <v>149</v>
      </c>
      <c r="E36" s="5">
        <v>5600</v>
      </c>
    </row>
    <row r="37" spans="1:6" x14ac:dyDescent="0.25">
      <c r="B37" s="1" t="s">
        <v>75</v>
      </c>
      <c r="C37" s="1"/>
      <c r="D37" s="1"/>
      <c r="E37" s="28">
        <f>E32-E33-E34-E35-E36</f>
        <v>10908</v>
      </c>
    </row>
    <row r="38" spans="1:6" x14ac:dyDescent="0.25">
      <c r="E38" s="5"/>
    </row>
    <row r="39" spans="1:6" x14ac:dyDescent="0.25">
      <c r="B39" t="s">
        <v>136</v>
      </c>
    </row>
    <row r="41" spans="1:6" x14ac:dyDescent="0.25">
      <c r="B41" t="s">
        <v>137</v>
      </c>
      <c r="E41">
        <v>1000</v>
      </c>
      <c r="F41" s="4" t="s">
        <v>138</v>
      </c>
    </row>
    <row r="42" spans="1:6" x14ac:dyDescent="0.25">
      <c r="B42" t="s">
        <v>139</v>
      </c>
      <c r="E42">
        <v>20</v>
      </c>
      <c r="F42" t="s">
        <v>140</v>
      </c>
    </row>
    <row r="43" spans="1:6" x14ac:dyDescent="0.25">
      <c r="B43" t="s">
        <v>141</v>
      </c>
      <c r="E43">
        <f>1000*20</f>
        <v>20000</v>
      </c>
      <c r="F43" t="s">
        <v>142</v>
      </c>
    </row>
    <row r="44" spans="1:6" x14ac:dyDescent="0.25">
      <c r="B44" t="s">
        <v>143</v>
      </c>
      <c r="E44">
        <f>20000*30%</f>
        <v>6000</v>
      </c>
      <c r="F44" t="s">
        <v>144</v>
      </c>
    </row>
    <row r="45" spans="1:6" x14ac:dyDescent="0.25">
      <c r="B45" t="s">
        <v>145</v>
      </c>
      <c r="E45">
        <f>E43-E44</f>
        <v>14000</v>
      </c>
      <c r="F45" t="s">
        <v>146</v>
      </c>
    </row>
    <row r="46" spans="1:6" x14ac:dyDescent="0.25">
      <c r="B46" s="1" t="s">
        <v>147</v>
      </c>
      <c r="E46" s="1">
        <f>14000*40%</f>
        <v>5600</v>
      </c>
      <c r="F46" t="s">
        <v>148</v>
      </c>
    </row>
    <row r="49" spans="1:5" x14ac:dyDescent="0.25">
      <c r="B49" t="s">
        <v>150</v>
      </c>
      <c r="E49" s="5">
        <v>80000</v>
      </c>
    </row>
    <row r="50" spans="1:5" x14ac:dyDescent="0.25">
      <c r="B50" t="s">
        <v>75</v>
      </c>
      <c r="E50" s="5">
        <v>10908</v>
      </c>
    </row>
    <row r="51" spans="1:5" x14ac:dyDescent="0.25">
      <c r="A51" t="s">
        <v>58</v>
      </c>
      <c r="B51" t="s">
        <v>151</v>
      </c>
      <c r="C51" t="s">
        <v>152</v>
      </c>
      <c r="E51" s="5">
        <f>24000*40%</f>
        <v>9600</v>
      </c>
    </row>
    <row r="53" spans="1:5" x14ac:dyDescent="0.25">
      <c r="B53" s="1" t="s">
        <v>153</v>
      </c>
      <c r="C53" s="1"/>
      <c r="D53" s="1"/>
      <c r="E53" s="24">
        <f>E49+E50-E51</f>
        <v>81308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B8F0-50F8-4B32-9A54-6D34A13A475B}">
  <dimension ref="B3:J44"/>
  <sheetViews>
    <sheetView zoomScale="200" zoomScaleNormal="200" workbookViewId="0">
      <selection activeCell="E9" sqref="E9"/>
    </sheetView>
  </sheetViews>
  <sheetFormatPr defaultRowHeight="15" x14ac:dyDescent="0.25"/>
  <cols>
    <col min="2" max="2" width="18.42578125" customWidth="1"/>
    <col min="3" max="3" width="13.140625" customWidth="1"/>
    <col min="4" max="4" width="10.85546875" customWidth="1"/>
    <col min="5" max="5" width="10.140625" customWidth="1"/>
    <col min="6" max="6" width="11.7109375" bestFit="1" customWidth="1"/>
    <col min="7" max="7" width="11.140625" customWidth="1"/>
    <col min="8" max="8" width="12" customWidth="1"/>
  </cols>
  <sheetData>
    <row r="3" spans="2:7" x14ac:dyDescent="0.25">
      <c r="B3" s="1" t="s">
        <v>213</v>
      </c>
    </row>
    <row r="5" spans="2:7" x14ac:dyDescent="0.25">
      <c r="B5" s="37" t="s">
        <v>180</v>
      </c>
      <c r="C5" s="5">
        <v>600000</v>
      </c>
    </row>
    <row r="6" spans="2:7" x14ac:dyDescent="0.25">
      <c r="B6" s="37" t="s">
        <v>181</v>
      </c>
      <c r="C6" s="13" t="s">
        <v>182</v>
      </c>
    </row>
    <row r="7" spans="2:7" x14ac:dyDescent="0.25">
      <c r="B7" t="s">
        <v>183</v>
      </c>
      <c r="C7" s="13">
        <v>0</v>
      </c>
    </row>
    <row r="9" spans="2:7" x14ac:dyDescent="0.25">
      <c r="B9" t="s">
        <v>184</v>
      </c>
      <c r="C9" s="5">
        <f>60000/2</f>
        <v>30000</v>
      </c>
      <c r="D9" t="s">
        <v>185</v>
      </c>
      <c r="F9" t="s">
        <v>186</v>
      </c>
    </row>
    <row r="10" spans="2:7" x14ac:dyDescent="0.25">
      <c r="B10" t="s">
        <v>187</v>
      </c>
      <c r="C10" s="5">
        <v>60000</v>
      </c>
    </row>
    <row r="11" spans="2:7" x14ac:dyDescent="0.25">
      <c r="B11" t="s">
        <v>188</v>
      </c>
      <c r="C11" s="5">
        <v>60000</v>
      </c>
    </row>
    <row r="13" spans="2:7" x14ac:dyDescent="0.25">
      <c r="E13" s="50" t="s">
        <v>189</v>
      </c>
      <c r="F13" s="50"/>
    </row>
    <row r="14" spans="2:7" x14ac:dyDescent="0.25">
      <c r="F14" s="38"/>
    </row>
    <row r="15" spans="2:7" x14ac:dyDescent="0.25">
      <c r="F15" s="3">
        <v>30000</v>
      </c>
      <c r="G15" t="s">
        <v>190</v>
      </c>
    </row>
    <row r="16" spans="2:7" x14ac:dyDescent="0.25">
      <c r="F16" s="3">
        <v>60000</v>
      </c>
      <c r="G16" t="s">
        <v>191</v>
      </c>
    </row>
    <row r="17" spans="2:8" x14ac:dyDescent="0.25">
      <c r="F17" s="39">
        <v>60000</v>
      </c>
      <c r="G17" t="s">
        <v>192</v>
      </c>
    </row>
    <row r="18" spans="2:8" x14ac:dyDescent="0.25">
      <c r="F18" s="40">
        <f>SUM(F15:F17)</f>
        <v>150000</v>
      </c>
    </row>
    <row r="20" spans="2:8" x14ac:dyDescent="0.25">
      <c r="B20" t="s">
        <v>193</v>
      </c>
    </row>
    <row r="21" spans="2:8" x14ac:dyDescent="0.25">
      <c r="B21" t="s">
        <v>194</v>
      </c>
      <c r="C21" s="4" t="s">
        <v>195</v>
      </c>
    </row>
    <row r="23" spans="2:8" ht="15.75" thickBot="1" x14ac:dyDescent="0.3"/>
    <row r="24" spans="2:8" ht="15.75" thickBot="1" x14ac:dyDescent="0.3">
      <c r="B24" s="41"/>
      <c r="C24" s="42">
        <v>4</v>
      </c>
      <c r="D24" s="42">
        <v>5</v>
      </c>
      <c r="E24" s="42">
        <v>6</v>
      </c>
      <c r="F24" s="42">
        <v>7</v>
      </c>
      <c r="G24" s="42">
        <v>8</v>
      </c>
      <c r="H24" s="42" t="s">
        <v>196</v>
      </c>
    </row>
    <row r="25" spans="2:8" ht="15.75" thickBot="1" x14ac:dyDescent="0.3">
      <c r="B25" s="43" t="s">
        <v>197</v>
      </c>
      <c r="C25" s="44">
        <v>40000</v>
      </c>
      <c r="D25" s="44">
        <v>50000</v>
      </c>
      <c r="E25" s="44">
        <v>100000</v>
      </c>
      <c r="F25" s="44">
        <v>100000</v>
      </c>
      <c r="G25" s="44">
        <v>100000</v>
      </c>
      <c r="H25" s="44">
        <v>390000</v>
      </c>
    </row>
    <row r="26" spans="2:8" ht="15.75" thickBot="1" x14ac:dyDescent="0.3">
      <c r="B26" s="43" t="s">
        <v>198</v>
      </c>
      <c r="C26" s="44">
        <v>-30000</v>
      </c>
      <c r="D26" s="44">
        <v>-25000</v>
      </c>
      <c r="E26" s="44">
        <v>-13000</v>
      </c>
      <c r="F26" s="44">
        <v>-13000</v>
      </c>
      <c r="G26" s="44">
        <v>-13000</v>
      </c>
      <c r="H26" s="44">
        <v>-94000</v>
      </c>
    </row>
    <row r="27" spans="2:8" ht="15.75" thickBot="1" x14ac:dyDescent="0.3">
      <c r="B27" s="43" t="s">
        <v>199</v>
      </c>
      <c r="C27" s="44">
        <v>-10000</v>
      </c>
      <c r="D27" s="44">
        <v>-10000</v>
      </c>
      <c r="E27" s="44">
        <v>-10000</v>
      </c>
      <c r="F27" s="44">
        <v>-10000</v>
      </c>
      <c r="G27" s="44">
        <v>-10000</v>
      </c>
      <c r="H27" s="44">
        <v>-50000</v>
      </c>
    </row>
    <row r="28" spans="2:8" ht="15.75" thickBot="1" x14ac:dyDescent="0.3">
      <c r="B28" s="43" t="s">
        <v>200</v>
      </c>
      <c r="C28" s="44">
        <v>-1000</v>
      </c>
      <c r="D28" s="44">
        <v>-1000</v>
      </c>
      <c r="E28" s="44">
        <v>-1000</v>
      </c>
      <c r="F28" s="44">
        <v>-1000</v>
      </c>
      <c r="G28" s="44">
        <v>-1000</v>
      </c>
      <c r="H28" s="44">
        <v>-5000</v>
      </c>
    </row>
    <row r="29" spans="2:8" ht="30.75" thickBot="1" x14ac:dyDescent="0.3">
      <c r="B29" s="43" t="s">
        <v>201</v>
      </c>
      <c r="C29" s="45">
        <f t="shared" ref="C29:H29" si="0">C25+C26+C27+C28</f>
        <v>-1000</v>
      </c>
      <c r="D29" s="45">
        <f t="shared" si="0"/>
        <v>14000</v>
      </c>
      <c r="E29" s="45">
        <f t="shared" si="0"/>
        <v>76000</v>
      </c>
      <c r="F29" s="45">
        <f t="shared" si="0"/>
        <v>76000</v>
      </c>
      <c r="G29" s="45">
        <f t="shared" si="0"/>
        <v>76000</v>
      </c>
      <c r="H29" s="45">
        <f t="shared" si="0"/>
        <v>241000</v>
      </c>
    </row>
    <row r="30" spans="2:8" ht="15.75" thickBot="1" x14ac:dyDescent="0.3">
      <c r="B30" s="43" t="s">
        <v>202</v>
      </c>
      <c r="C30" s="46">
        <v>-60000</v>
      </c>
      <c r="D30" s="46">
        <v>-60000</v>
      </c>
      <c r="E30" s="46">
        <v>-60000</v>
      </c>
      <c r="F30" s="46">
        <v>-60000</v>
      </c>
      <c r="G30" s="46">
        <v>-60000</v>
      </c>
      <c r="H30" s="46">
        <f>C30+D30+E30+F30+G30</f>
        <v>-300000</v>
      </c>
    </row>
    <row r="31" spans="2:8" ht="15.75" thickBot="1" x14ac:dyDescent="0.3">
      <c r="B31" s="43" t="s">
        <v>203</v>
      </c>
      <c r="C31" s="47">
        <f>C29+C30</f>
        <v>-61000</v>
      </c>
      <c r="D31" s="47">
        <f t="shared" ref="D31:G31" si="1">D29+D30</f>
        <v>-46000</v>
      </c>
      <c r="E31" s="47">
        <f t="shared" si="1"/>
        <v>16000</v>
      </c>
      <c r="F31" s="47">
        <f t="shared" si="1"/>
        <v>16000</v>
      </c>
      <c r="G31" s="47">
        <f t="shared" si="1"/>
        <v>16000</v>
      </c>
      <c r="H31" s="48">
        <f>C31+D31+F31+G31+E31</f>
        <v>-59000</v>
      </c>
    </row>
    <row r="33" spans="2:10" x14ac:dyDescent="0.25">
      <c r="B33" s="49" t="s">
        <v>204</v>
      </c>
      <c r="C33" s="28">
        <v>59000</v>
      </c>
    </row>
    <row r="35" spans="2:10" x14ac:dyDescent="0.25">
      <c r="B35" s="2"/>
      <c r="C35" s="2"/>
      <c r="D35" s="2"/>
      <c r="E35" t="s">
        <v>205</v>
      </c>
      <c r="F35" s="2"/>
      <c r="G35" s="2"/>
      <c r="H35" s="2"/>
    </row>
    <row r="36" spans="2:10" x14ac:dyDescent="0.25">
      <c r="B36" t="s">
        <v>206</v>
      </c>
      <c r="C36" t="s">
        <v>207</v>
      </c>
      <c r="E36" t="s">
        <v>4</v>
      </c>
      <c r="F36" t="s">
        <v>208</v>
      </c>
      <c r="I36">
        <v>60000</v>
      </c>
      <c r="J36" s="3">
        <v>60000</v>
      </c>
    </row>
    <row r="38" spans="2:10" x14ac:dyDescent="0.25">
      <c r="B38" s="2"/>
      <c r="C38" s="2"/>
      <c r="D38" s="2"/>
      <c r="E38" t="s">
        <v>205</v>
      </c>
      <c r="F38" s="2"/>
      <c r="G38" s="2"/>
      <c r="H38" s="2"/>
    </row>
    <row r="39" spans="2:10" x14ac:dyDescent="0.25">
      <c r="B39" t="s">
        <v>209</v>
      </c>
      <c r="E39" t="s">
        <v>4</v>
      </c>
      <c r="F39" t="s">
        <v>210</v>
      </c>
      <c r="I39">
        <v>59000</v>
      </c>
      <c r="J39" s="3">
        <v>59000</v>
      </c>
    </row>
    <row r="42" spans="2:10" x14ac:dyDescent="0.25">
      <c r="B42" t="s">
        <v>211</v>
      </c>
    </row>
    <row r="44" spans="2:10" x14ac:dyDescent="0.25">
      <c r="B44" t="s">
        <v>212</v>
      </c>
      <c r="C44" s="28">
        <f>450000-59000</f>
        <v>391000</v>
      </c>
    </row>
  </sheetData>
  <mergeCells count="1">
    <mergeCell ref="E13:F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A54E-3CE5-45E6-AC88-C1FC9A2EB1FF}">
  <dimension ref="B3:J62"/>
  <sheetViews>
    <sheetView zoomScale="200" zoomScaleNormal="200" workbookViewId="0">
      <selection activeCell="E48" sqref="E48"/>
    </sheetView>
  </sheetViews>
  <sheetFormatPr defaultRowHeight="15" x14ac:dyDescent="0.25"/>
  <cols>
    <col min="2" max="2" width="15.85546875" customWidth="1"/>
    <col min="3" max="3" width="14.140625" customWidth="1"/>
    <col min="4" max="4" width="12" customWidth="1"/>
    <col min="5" max="5" width="17" bestFit="1" customWidth="1"/>
    <col min="6" max="6" width="11.7109375" bestFit="1" customWidth="1"/>
    <col min="9" max="9" width="16.140625" customWidth="1"/>
    <col min="10" max="10" width="12.7109375" customWidth="1"/>
  </cols>
  <sheetData>
    <row r="3" spans="2:5" x14ac:dyDescent="0.25">
      <c r="B3" t="s">
        <v>154</v>
      </c>
    </row>
    <row r="5" spans="2:5" x14ac:dyDescent="0.25">
      <c r="B5" s="8" t="s">
        <v>155</v>
      </c>
      <c r="C5" s="29" t="s">
        <v>156</v>
      </c>
      <c r="D5" s="29" t="s">
        <v>157</v>
      </c>
      <c r="E5" s="9" t="s">
        <v>126</v>
      </c>
    </row>
    <row r="6" spans="2:5" x14ac:dyDescent="0.25">
      <c r="B6" s="30">
        <v>44927</v>
      </c>
      <c r="C6" s="31">
        <v>8000</v>
      </c>
      <c r="D6" s="29"/>
      <c r="E6" s="29">
        <v>5</v>
      </c>
    </row>
    <row r="7" spans="2:5" x14ac:dyDescent="0.25">
      <c r="B7" s="30">
        <v>45017</v>
      </c>
      <c r="C7" s="31">
        <v>12000</v>
      </c>
      <c r="D7" s="29"/>
      <c r="E7" s="29">
        <v>5.5</v>
      </c>
    </row>
    <row r="8" spans="2:5" x14ac:dyDescent="0.25">
      <c r="B8" s="30">
        <v>45090</v>
      </c>
      <c r="C8" s="31">
        <v>17000</v>
      </c>
      <c r="D8" s="29"/>
      <c r="E8" s="29">
        <v>5.8</v>
      </c>
    </row>
    <row r="9" spans="2:5" x14ac:dyDescent="0.25">
      <c r="B9" s="30">
        <v>45128</v>
      </c>
      <c r="C9" s="31">
        <v>42000</v>
      </c>
      <c r="D9" s="29"/>
      <c r="E9" s="29">
        <v>6.1</v>
      </c>
    </row>
    <row r="10" spans="2:5" x14ac:dyDescent="0.25">
      <c r="B10" s="30">
        <v>45193</v>
      </c>
      <c r="C10" s="31"/>
      <c r="D10" s="31">
        <v>62000</v>
      </c>
      <c r="E10" s="29"/>
    </row>
    <row r="11" spans="2:5" x14ac:dyDescent="0.25">
      <c r="B11" s="30">
        <v>45216</v>
      </c>
      <c r="C11" s="31">
        <v>27000</v>
      </c>
      <c r="D11" s="31"/>
      <c r="E11" s="29">
        <v>6.5</v>
      </c>
    </row>
    <row r="12" spans="2:5" x14ac:dyDescent="0.25">
      <c r="B12" s="30">
        <v>45265</v>
      </c>
      <c r="C12" s="29"/>
      <c r="D12" s="31">
        <v>22000</v>
      </c>
      <c r="E12" s="29"/>
    </row>
    <row r="14" spans="2:5" x14ac:dyDescent="0.25">
      <c r="B14" s="1" t="s">
        <v>159</v>
      </c>
      <c r="D14" s="32">
        <f>C6+C7+C8+C9+C11+-D10-D12</f>
        <v>22000</v>
      </c>
      <c r="E14" t="s">
        <v>160</v>
      </c>
    </row>
    <row r="16" spans="2:5" x14ac:dyDescent="0.25">
      <c r="B16" s="1" t="s">
        <v>158</v>
      </c>
    </row>
    <row r="17" spans="2:10" x14ac:dyDescent="0.25">
      <c r="B17" t="s">
        <v>161</v>
      </c>
      <c r="D17" s="33">
        <f>22000*6.5</f>
        <v>143000</v>
      </c>
    </row>
    <row r="19" spans="2:10" x14ac:dyDescent="0.25">
      <c r="B19" s="1" t="s">
        <v>162</v>
      </c>
      <c r="G19" t="s">
        <v>170</v>
      </c>
      <c r="I19" s="5">
        <v>140800</v>
      </c>
    </row>
    <row r="20" spans="2:10" x14ac:dyDescent="0.25">
      <c r="B20" t="s">
        <v>163</v>
      </c>
      <c r="D20">
        <v>8</v>
      </c>
    </row>
    <row r="21" spans="2:10" x14ac:dyDescent="0.25">
      <c r="B21" t="s">
        <v>164</v>
      </c>
      <c r="D21" s="2">
        <f>8*0.2</f>
        <v>1.6</v>
      </c>
      <c r="E21" t="s">
        <v>166</v>
      </c>
    </row>
    <row r="22" spans="2:10" x14ac:dyDescent="0.25">
      <c r="B22" t="s">
        <v>165</v>
      </c>
      <c r="D22">
        <f>D20-D21</f>
        <v>6.4</v>
      </c>
      <c r="E22" t="s">
        <v>167</v>
      </c>
    </row>
    <row r="23" spans="2:10" x14ac:dyDescent="0.25">
      <c r="B23" t="s">
        <v>169</v>
      </c>
      <c r="D23" t="s">
        <v>168</v>
      </c>
      <c r="F23" s="33">
        <f>22000*6.4</f>
        <v>140800</v>
      </c>
    </row>
    <row r="26" spans="2:10" x14ac:dyDescent="0.25">
      <c r="B26" s="1" t="s">
        <v>171</v>
      </c>
    </row>
    <row r="28" spans="2:10" x14ac:dyDescent="0.25">
      <c r="B28" s="34" t="s">
        <v>172</v>
      </c>
      <c r="C28" s="2"/>
      <c r="D28" s="2"/>
      <c r="E28" s="2"/>
      <c r="F28" s="17">
        <f>8000*5+12000*5.5+17000*5.8+42000*6.1+27000*6.5</f>
        <v>636300</v>
      </c>
      <c r="G28" s="35">
        <f>F28/F29</f>
        <v>6.002830188679245</v>
      </c>
      <c r="I28" t="s">
        <v>170</v>
      </c>
      <c r="J28" s="5">
        <v>132062.26</v>
      </c>
    </row>
    <row r="29" spans="2:10" x14ac:dyDescent="0.25">
      <c r="B29" s="51" t="s">
        <v>173</v>
      </c>
      <c r="C29" s="51"/>
      <c r="D29" s="51"/>
      <c r="E29" s="51"/>
      <c r="F29" s="5">
        <f>8000+12000+17000+42000+27000</f>
        <v>106000</v>
      </c>
    </row>
    <row r="31" spans="2:10" x14ac:dyDescent="0.25">
      <c r="B31" s="33">
        <f>22000*G28</f>
        <v>132062.2641509434</v>
      </c>
      <c r="C31" t="s">
        <v>174</v>
      </c>
    </row>
    <row r="34" spans="2:9" x14ac:dyDescent="0.25">
      <c r="B34" t="s">
        <v>175</v>
      </c>
    </row>
    <row r="36" spans="2:9" x14ac:dyDescent="0.25">
      <c r="B36" s="29" t="s">
        <v>155</v>
      </c>
      <c r="C36" s="29" t="s">
        <v>156</v>
      </c>
      <c r="D36" s="29" t="s">
        <v>157</v>
      </c>
      <c r="E36" s="29" t="s">
        <v>126</v>
      </c>
    </row>
    <row r="37" spans="2:9" x14ac:dyDescent="0.25">
      <c r="B37" s="30">
        <v>44927</v>
      </c>
      <c r="C37" s="31">
        <v>8000</v>
      </c>
      <c r="D37" s="31"/>
      <c r="E37" s="29">
        <v>5</v>
      </c>
    </row>
    <row r="38" spans="2:9" x14ac:dyDescent="0.25">
      <c r="B38" s="30">
        <v>45017</v>
      </c>
      <c r="C38" s="31">
        <v>9000</v>
      </c>
      <c r="D38" s="31"/>
      <c r="E38" s="29">
        <v>5.5</v>
      </c>
    </row>
    <row r="39" spans="2:9" x14ac:dyDescent="0.25">
      <c r="B39" s="30">
        <v>45090</v>
      </c>
      <c r="C39" s="31"/>
      <c r="D39" s="31"/>
      <c r="E39" s="29"/>
    </row>
    <row r="40" spans="2:9" x14ac:dyDescent="0.25">
      <c r="B40" s="30">
        <v>45128</v>
      </c>
      <c r="C40" s="31"/>
      <c r="D40" s="31"/>
      <c r="E40" s="29"/>
    </row>
    <row r="41" spans="2:9" x14ac:dyDescent="0.25">
      <c r="B41" s="30">
        <v>45193</v>
      </c>
      <c r="C41" s="31"/>
      <c r="D41" s="31">
        <v>62000</v>
      </c>
      <c r="E41" s="29"/>
    </row>
    <row r="42" spans="2:9" x14ac:dyDescent="0.25">
      <c r="B42" s="30">
        <v>45216</v>
      </c>
      <c r="C42" s="31">
        <f>27000-22000</f>
        <v>5000</v>
      </c>
      <c r="D42" s="31"/>
      <c r="E42" s="29">
        <v>6.5</v>
      </c>
    </row>
    <row r="43" spans="2:9" x14ac:dyDescent="0.25">
      <c r="B43" s="30">
        <v>45265</v>
      </c>
      <c r="C43" s="31"/>
      <c r="D43" s="31">
        <v>22000</v>
      </c>
      <c r="E43" s="29"/>
    </row>
    <row r="46" spans="2:9" x14ac:dyDescent="0.25">
      <c r="B46" s="4" t="s">
        <v>176</v>
      </c>
      <c r="D46">
        <f>8000+9000+5000</f>
        <v>22000</v>
      </c>
      <c r="G46" t="s">
        <v>170</v>
      </c>
      <c r="I46" s="33">
        <v>122000</v>
      </c>
    </row>
    <row r="47" spans="2:9" x14ac:dyDescent="0.25">
      <c r="B47" s="33">
        <f>8000*5+9000*5.5+5000*6.5</f>
        <v>122000</v>
      </c>
      <c r="C47" t="s">
        <v>177</v>
      </c>
    </row>
    <row r="50" spans="2:5" x14ac:dyDescent="0.25">
      <c r="B50" t="s">
        <v>178</v>
      </c>
    </row>
    <row r="52" spans="2:5" x14ac:dyDescent="0.25">
      <c r="B52" s="8" t="s">
        <v>155</v>
      </c>
      <c r="C52" s="29" t="s">
        <v>156</v>
      </c>
      <c r="D52" s="29" t="s">
        <v>157</v>
      </c>
      <c r="E52" s="9" t="s">
        <v>126</v>
      </c>
    </row>
    <row r="53" spans="2:5" x14ac:dyDescent="0.25">
      <c r="B53" s="30">
        <v>44927</v>
      </c>
      <c r="C53" s="31">
        <v>8000</v>
      </c>
      <c r="D53" s="29"/>
      <c r="E53" s="29">
        <v>5</v>
      </c>
    </row>
    <row r="54" spans="2:5" x14ac:dyDescent="0.25">
      <c r="B54" s="30">
        <v>45017</v>
      </c>
      <c r="C54" s="31">
        <v>12000</v>
      </c>
      <c r="D54" s="29"/>
      <c r="E54" s="29">
        <v>5.5</v>
      </c>
    </row>
    <row r="55" spans="2:5" x14ac:dyDescent="0.25">
      <c r="B55" s="30">
        <v>45090</v>
      </c>
      <c r="C55" s="31">
        <v>17000</v>
      </c>
      <c r="D55" s="29"/>
      <c r="E55" s="29">
        <v>5.8</v>
      </c>
    </row>
    <row r="56" spans="2:5" x14ac:dyDescent="0.25">
      <c r="B56" s="30">
        <v>45128</v>
      </c>
      <c r="C56" s="31">
        <v>42000</v>
      </c>
      <c r="D56" s="29"/>
      <c r="E56" s="29">
        <v>6.1</v>
      </c>
    </row>
    <row r="57" spans="2:5" x14ac:dyDescent="0.25">
      <c r="B57" s="30">
        <v>45193</v>
      </c>
      <c r="C57" s="31"/>
      <c r="D57" s="31">
        <v>62000</v>
      </c>
      <c r="E57" s="29"/>
    </row>
    <row r="58" spans="2:5" x14ac:dyDescent="0.25">
      <c r="B58" s="30">
        <v>45216</v>
      </c>
      <c r="C58" s="31">
        <v>27000</v>
      </c>
      <c r="D58" s="31"/>
      <c r="E58" s="29">
        <v>6.5</v>
      </c>
    </row>
    <row r="59" spans="2:5" x14ac:dyDescent="0.25">
      <c r="B59" s="30">
        <v>45265</v>
      </c>
      <c r="C59" s="29"/>
      <c r="D59" s="31">
        <v>22000</v>
      </c>
      <c r="E59" s="29"/>
    </row>
    <row r="61" spans="2:5" x14ac:dyDescent="0.25">
      <c r="B61" t="s">
        <v>179</v>
      </c>
    </row>
    <row r="62" spans="2:5" x14ac:dyDescent="0.25">
      <c r="B62" s="36">
        <f>8000*5+12000*5.5+2000*5.8</f>
        <v>117600</v>
      </c>
    </row>
  </sheetData>
  <mergeCells count="1">
    <mergeCell ref="B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Foglio1</vt:lpstr>
      <vt:lpstr>Foglio2</vt:lpstr>
      <vt:lpstr>Foglio3</vt:lpstr>
      <vt:lpstr>Foglio4</vt:lpstr>
      <vt:lpstr>Foglio5</vt:lpstr>
      <vt:lpstr>Foglio6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Spedicato</dc:creator>
  <cp:lastModifiedBy>Marta</cp:lastModifiedBy>
  <dcterms:created xsi:type="dcterms:W3CDTF">2023-04-03T09:07:25Z</dcterms:created>
  <dcterms:modified xsi:type="dcterms:W3CDTF">2023-04-06T15:58:45Z</dcterms:modified>
</cp:coreProperties>
</file>