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gioneria\"/>
    </mc:Choice>
  </mc:AlternateContent>
  <xr:revisionPtr revIDLastSave="0" documentId="13_ncr:1_{E0C26DAC-68C8-48AD-8940-3878A6EFF707}" xr6:coauthVersionLast="36" xr6:coauthVersionMax="36" xr10:uidLastSave="{00000000-0000-0000-0000-000000000000}"/>
  <bookViews>
    <workbookView xWindow="0" yWindow="0" windowWidth="15360" windowHeight="7545" firstSheet="23" activeTab="24" xr2:uid="{A9E557FB-3EA0-451A-92D4-FB29489DAB64}"/>
  </bookViews>
  <sheets>
    <sheet name="Foglio2" sheetId="2" r:id="rId1"/>
    <sheet name="Foglio3" sheetId="3" r:id="rId2"/>
    <sheet name="Foglio4" sheetId="4" r:id="rId3"/>
    <sheet name="Foglio5" sheetId="5" r:id="rId4"/>
    <sheet name="Foglio6" sheetId="6" r:id="rId5"/>
    <sheet name="Foglio7" sheetId="7" r:id="rId6"/>
    <sheet name="Foglio8" sheetId="8" r:id="rId7"/>
    <sheet name="Foglio1" sheetId="9" r:id="rId8"/>
    <sheet name="Foglio9" sheetId="10" r:id="rId9"/>
    <sheet name="config di costo" sheetId="11" r:id="rId10"/>
    <sheet name="es val riman" sheetId="12" r:id="rId11"/>
    <sheet name="OPERE IN CORSO" sheetId="13" r:id="rId12"/>
    <sheet name="val commesse" sheetId="14" r:id="rId13"/>
    <sheet name="eser commessa" sheetId="15" r:id="rId14"/>
    <sheet name="es commessa" sheetId="16" r:id="rId15"/>
    <sheet name="CESPITI" sheetId="17" r:id="rId16"/>
    <sheet name="rivalut" sheetId="21" r:id="rId17"/>
    <sheet name="AMMORTAMENTO" sheetId="18" r:id="rId18"/>
    <sheet name="svalut immob" sheetId="19" r:id="rId19"/>
    <sheet name="spese manutez" sheetId="20" r:id="rId20"/>
    <sheet name="es. sval immob" sheetId="25" r:id="rId21"/>
    <sheet name="amm fiscali e leasing" sheetId="24" r:id="rId22"/>
    <sheet name="es svaluataz imm" sheetId="22" r:id="rId23"/>
    <sheet name="es vendita macchinario" sheetId="23" r:id="rId24"/>
    <sheet name="Titoli e partecip" sheetId="26" r:id="rId25"/>
    <sheet name="Foglio24" sheetId="28" r:id="rId26"/>
    <sheet name="Foglio10" sheetId="29" r:id="rId27"/>
    <sheet name="Foglio11" sheetId="30" r:id="rId28"/>
    <sheet name="Foglio12" sheetId="31" r:id="rId29"/>
    <sheet name="Foglio13" sheetId="32" r:id="rId30"/>
    <sheet name="Foglio14" sheetId="33" r:id="rId3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3" l="1"/>
  <c r="E14" i="33"/>
  <c r="E13" i="33"/>
  <c r="K31" i="33"/>
  <c r="K29" i="33"/>
  <c r="K28" i="33"/>
  <c r="K26" i="33"/>
  <c r="K27" i="33"/>
  <c r="K17" i="33"/>
  <c r="E11" i="33"/>
  <c r="E8" i="33"/>
  <c r="E6" i="33"/>
  <c r="F6" i="32" l="1"/>
  <c r="M8" i="32"/>
  <c r="D5" i="32"/>
  <c r="K6" i="32"/>
  <c r="M7" i="32"/>
  <c r="M6" i="32"/>
  <c r="K5" i="32"/>
  <c r="F29" i="31"/>
  <c r="F27" i="31"/>
  <c r="F24" i="31"/>
  <c r="F26" i="31"/>
  <c r="F25" i="31"/>
  <c r="F22" i="31"/>
  <c r="F13" i="31"/>
  <c r="F11" i="31"/>
  <c r="F10" i="31"/>
  <c r="F8" i="31"/>
  <c r="G47" i="30" l="1"/>
  <c r="G51" i="30"/>
  <c r="G49" i="30"/>
  <c r="G42" i="30"/>
  <c r="G40" i="30"/>
  <c r="G38" i="30"/>
  <c r="G37" i="30"/>
  <c r="G36" i="30"/>
  <c r="G14" i="30"/>
  <c r="G22" i="30" s="1"/>
  <c r="G24" i="30" s="1"/>
  <c r="G34" i="30"/>
  <c r="G32" i="30"/>
  <c r="G30" i="30"/>
  <c r="G20" i="30"/>
  <c r="F20" i="30"/>
  <c r="D18" i="30"/>
  <c r="D19" i="30" s="1"/>
  <c r="D20" i="30" s="1"/>
  <c r="F14" i="30"/>
  <c r="D14" i="30"/>
  <c r="D13" i="30"/>
  <c r="D12" i="30"/>
  <c r="G7" i="30"/>
  <c r="G6" i="30"/>
  <c r="F6" i="30"/>
  <c r="E55" i="28"/>
  <c r="F55" i="28"/>
  <c r="F54" i="28"/>
  <c r="E54" i="28"/>
  <c r="F62" i="28" l="1"/>
  <c r="F58" i="28"/>
  <c r="F60" i="28" s="1"/>
  <c r="F52" i="28"/>
  <c r="F51" i="28"/>
  <c r="F50" i="28"/>
  <c r="F49" i="28"/>
  <c r="F48" i="28"/>
  <c r="F44" i="28"/>
  <c r="F40" i="28"/>
  <c r="F38" i="28"/>
  <c r="F36" i="28"/>
  <c r="F29" i="28"/>
  <c r="F27" i="28"/>
  <c r="E25" i="28"/>
  <c r="F25" i="28" s="1"/>
  <c r="E24" i="28"/>
  <c r="E20" i="28"/>
  <c r="E21" i="28" s="1"/>
  <c r="F21" i="28" s="1"/>
  <c r="F17" i="28"/>
  <c r="E16" i="28"/>
  <c r="E17" i="28" s="1"/>
  <c r="F13" i="28"/>
  <c r="E13" i="28"/>
  <c r="E12" i="28"/>
  <c r="F9" i="28"/>
  <c r="F7" i="28"/>
  <c r="F95" i="26"/>
  <c r="F94" i="26"/>
  <c r="F93" i="26"/>
  <c r="F92" i="26"/>
  <c r="F91" i="26"/>
  <c r="N70" i="26"/>
  <c r="O70" i="26" s="1"/>
  <c r="K39" i="25" l="1"/>
  <c r="K38" i="25"/>
  <c r="K37" i="25"/>
  <c r="K36" i="25"/>
  <c r="K35" i="25"/>
  <c r="K34" i="25"/>
  <c r="J35" i="25"/>
  <c r="J36" i="25" s="1"/>
  <c r="J37" i="25" s="1"/>
  <c r="J38" i="25" s="1"/>
  <c r="J39" i="25" s="1"/>
  <c r="J34" i="25"/>
  <c r="I39" i="25"/>
  <c r="I38" i="25"/>
  <c r="I37" i="25"/>
  <c r="I36" i="25"/>
  <c r="I35" i="25"/>
  <c r="I34" i="25"/>
  <c r="H36" i="25"/>
  <c r="H37" i="25" s="1"/>
  <c r="H38" i="25" s="1"/>
  <c r="H39" i="25" s="1"/>
  <c r="H35" i="25"/>
  <c r="H34" i="25"/>
  <c r="K33" i="25"/>
  <c r="J33" i="25"/>
  <c r="I33" i="25"/>
  <c r="H33" i="25"/>
  <c r="D33" i="25"/>
  <c r="D34" i="25" s="1"/>
  <c r="B33" i="25"/>
  <c r="B30" i="25"/>
  <c r="D30" i="25" s="1"/>
  <c r="A31" i="25"/>
  <c r="A32" i="25" s="1"/>
  <c r="A33" i="25" s="1"/>
  <c r="A34" i="25" s="1"/>
  <c r="A35" i="25" s="1"/>
  <c r="A36" i="25" s="1"/>
  <c r="A37" i="25" s="1"/>
  <c r="A38" i="25" s="1"/>
  <c r="A39" i="25" s="1"/>
  <c r="B17" i="25"/>
  <c r="A15" i="25"/>
  <c r="E16" i="25"/>
  <c r="E15" i="25"/>
  <c r="E14" i="25"/>
  <c r="D16" i="25"/>
  <c r="D15" i="25"/>
  <c r="D14" i="25"/>
  <c r="B16" i="25"/>
  <c r="B15" i="25"/>
  <c r="B14" i="25"/>
  <c r="A16" i="25"/>
  <c r="A17" i="25" s="1"/>
  <c r="A18" i="25" s="1"/>
  <c r="A19" i="25" s="1"/>
  <c r="A20" i="25" s="1"/>
  <c r="A21" i="25" s="1"/>
  <c r="A22" i="25" s="1"/>
  <c r="A23" i="25" s="1"/>
  <c r="D11" i="25"/>
  <c r="D9" i="25"/>
  <c r="C18" i="23"/>
  <c r="C16" i="23"/>
  <c r="D10" i="23"/>
  <c r="D9" i="23"/>
  <c r="E9" i="23"/>
  <c r="D5" i="23"/>
  <c r="G39" i="22"/>
  <c r="G38" i="22"/>
  <c r="G37" i="22"/>
  <c r="G36" i="22"/>
  <c r="G35" i="22"/>
  <c r="E39" i="22"/>
  <c r="E38" i="22"/>
  <c r="F38" i="22"/>
  <c r="F37" i="22"/>
  <c r="E37" i="22"/>
  <c r="C37" i="22"/>
  <c r="A37" i="22"/>
  <c r="A38" i="22" s="1"/>
  <c r="A39" i="22" s="1"/>
  <c r="C36" i="22"/>
  <c r="D36" i="22" s="1"/>
  <c r="A36" i="22"/>
  <c r="D35" i="22"/>
  <c r="G30" i="22"/>
  <c r="G31" i="22" s="1"/>
  <c r="G29" i="22"/>
  <c r="C29" i="22"/>
  <c r="G28" i="22"/>
  <c r="A28" i="22"/>
  <c r="A29" i="22" s="1"/>
  <c r="A30" i="22" s="1"/>
  <c r="A31" i="22" s="1"/>
  <c r="D27" i="22"/>
  <c r="G27" i="22" s="1"/>
  <c r="G12" i="22"/>
  <c r="E15" i="22"/>
  <c r="E14" i="22"/>
  <c r="E13" i="22"/>
  <c r="E12" i="22"/>
  <c r="E11" i="22"/>
  <c r="D13" i="22"/>
  <c r="D14" i="22" s="1"/>
  <c r="D15" i="22" s="1"/>
  <c r="D12" i="22"/>
  <c r="D11" i="22"/>
  <c r="C13" i="22"/>
  <c r="C14" i="22" s="1"/>
  <c r="C15" i="22" s="1"/>
  <c r="C12" i="22"/>
  <c r="A15" i="22"/>
  <c r="A14" i="22"/>
  <c r="A13" i="22"/>
  <c r="A12" i="22"/>
  <c r="C11" i="22"/>
  <c r="C7" i="22"/>
  <c r="E34" i="25" l="1"/>
  <c r="D35" i="25"/>
  <c r="E33" i="25"/>
  <c r="E30" i="25"/>
  <c r="B31" i="25"/>
  <c r="B32" i="25" s="1"/>
  <c r="B34" i="25" s="1"/>
  <c r="B35" i="25" s="1"/>
  <c r="B36" i="25" s="1"/>
  <c r="B37" i="25" s="1"/>
  <c r="B38" i="25" s="1"/>
  <c r="B39" i="25" s="1"/>
  <c r="B18" i="25"/>
  <c r="B19" i="25" s="1"/>
  <c r="B20" i="25" s="1"/>
  <c r="B21" i="25" s="1"/>
  <c r="B22" i="25" s="1"/>
  <c r="B23" i="25" s="1"/>
  <c r="D17" i="25"/>
  <c r="F39" i="22"/>
  <c r="C28" i="22"/>
  <c r="B11" i="21"/>
  <c r="D11" i="21"/>
  <c r="D8" i="21"/>
  <c r="B5" i="21"/>
  <c r="D36" i="25" l="1"/>
  <c r="E35" i="25"/>
  <c r="D31" i="25"/>
  <c r="D18" i="25"/>
  <c r="E17" i="25"/>
  <c r="D37" i="22"/>
  <c r="C38" i="22"/>
  <c r="D28" i="22"/>
  <c r="L60" i="18"/>
  <c r="K60" i="18"/>
  <c r="K51" i="18"/>
  <c r="K53" i="18" s="1"/>
  <c r="J51" i="18"/>
  <c r="J53" i="18" s="1"/>
  <c r="I53" i="18"/>
  <c r="I54" i="18" s="1"/>
  <c r="H53" i="18"/>
  <c r="H54" i="18" s="1"/>
  <c r="I51" i="18" s="1"/>
  <c r="D26" i="18"/>
  <c r="C29" i="18"/>
  <c r="D37" i="25" l="1"/>
  <c r="E36" i="25"/>
  <c r="D32" i="25"/>
  <c r="E31" i="25"/>
  <c r="D19" i="25"/>
  <c r="E18" i="25"/>
  <c r="D38" i="22"/>
  <c r="C39" i="22"/>
  <c r="C30" i="22"/>
  <c r="D29" i="22"/>
  <c r="K54" i="18"/>
  <c r="L51" i="18" s="1"/>
  <c r="J54" i="18"/>
  <c r="F23" i="16"/>
  <c r="G19" i="16"/>
  <c r="F19" i="16"/>
  <c r="F15" i="16"/>
  <c r="F14" i="16"/>
  <c r="F12" i="16"/>
  <c r="E19" i="16"/>
  <c r="E15" i="16"/>
  <c r="E13" i="16"/>
  <c r="E21" i="16"/>
  <c r="E14" i="16"/>
  <c r="D19" i="16"/>
  <c r="D15" i="16"/>
  <c r="D13" i="16"/>
  <c r="D14" i="16"/>
  <c r="D21" i="16"/>
  <c r="C15" i="16"/>
  <c r="C19" i="16" s="1"/>
  <c r="C13" i="16"/>
  <c r="C21" i="16"/>
  <c r="G17" i="16"/>
  <c r="G8" i="16"/>
  <c r="C5" i="16"/>
  <c r="B5" i="16"/>
  <c r="E37" i="25" l="1"/>
  <c r="D38" i="25"/>
  <c r="E32" i="25"/>
  <c r="D20" i="25"/>
  <c r="E19" i="25"/>
  <c r="D39" i="22"/>
  <c r="C31" i="22"/>
  <c r="D30" i="22"/>
  <c r="L54" i="18"/>
  <c r="M51" i="18" s="1"/>
  <c r="L53" i="18"/>
  <c r="D17" i="15"/>
  <c r="D19" i="15" s="1"/>
  <c r="D23" i="15" s="1"/>
  <c r="E21" i="15"/>
  <c r="E16" i="15"/>
  <c r="D25" i="15"/>
  <c r="D21" i="15"/>
  <c r="D18" i="15"/>
  <c r="C23" i="15"/>
  <c r="C19" i="15"/>
  <c r="C25" i="15"/>
  <c r="C17" i="15" s="1"/>
  <c r="C21" i="15"/>
  <c r="D11" i="15"/>
  <c r="D9" i="15"/>
  <c r="D3" i="15"/>
  <c r="C9" i="15"/>
  <c r="C11" i="15" s="1"/>
  <c r="C51" i="14"/>
  <c r="C50" i="14"/>
  <c r="D57" i="14"/>
  <c r="C57" i="14"/>
  <c r="E57" i="14" s="1"/>
  <c r="C71" i="14"/>
  <c r="B67" i="14"/>
  <c r="B59" i="14"/>
  <c r="B54" i="14"/>
  <c r="B55" i="14" s="1"/>
  <c r="E53" i="14"/>
  <c r="E46" i="14"/>
  <c r="C48" i="14" s="1"/>
  <c r="F24" i="14"/>
  <c r="D49" i="13"/>
  <c r="C49" i="13"/>
  <c r="B49" i="13"/>
  <c r="D53" i="13"/>
  <c r="C53" i="13"/>
  <c r="B53" i="13"/>
  <c r="E57" i="13"/>
  <c r="E52" i="13"/>
  <c r="E51" i="13"/>
  <c r="E55" i="13"/>
  <c r="D57" i="13"/>
  <c r="C57" i="13"/>
  <c r="C52" i="13"/>
  <c r="C65" i="13"/>
  <c r="C69" i="13"/>
  <c r="C48" i="13"/>
  <c r="B57" i="13"/>
  <c r="B52" i="13"/>
  <c r="B65" i="13"/>
  <c r="B48" i="13"/>
  <c r="E47" i="13"/>
  <c r="E46" i="13"/>
  <c r="F24" i="13"/>
  <c r="D39" i="25" l="1"/>
  <c r="E39" i="25" s="1"/>
  <c r="E38" i="25"/>
  <c r="D21" i="25"/>
  <c r="E20" i="25"/>
  <c r="D31" i="22"/>
  <c r="M53" i="18"/>
  <c r="M54" i="18"/>
  <c r="N51" i="18" s="1"/>
  <c r="E18" i="15"/>
  <c r="E19" i="15" s="1"/>
  <c r="E23" i="15" s="1"/>
  <c r="D54" i="14"/>
  <c r="D55" i="14" s="1"/>
  <c r="C54" i="14"/>
  <c r="C55" i="14" s="1"/>
  <c r="B49" i="14"/>
  <c r="C49" i="14"/>
  <c r="D49" i="14"/>
  <c r="E13" i="12"/>
  <c r="C32" i="12"/>
  <c r="D22" i="12"/>
  <c r="C13" i="12"/>
  <c r="C15" i="12"/>
  <c r="D22" i="25" l="1"/>
  <c r="E21" i="25"/>
  <c r="N53" i="18"/>
  <c r="N54" i="18" s="1"/>
  <c r="O51" i="18" s="1"/>
  <c r="E54" i="14"/>
  <c r="D59" i="14"/>
  <c r="C59" i="14"/>
  <c r="E35" i="10"/>
  <c r="F35" i="10" s="1"/>
  <c r="H35" i="10" s="1"/>
  <c r="C35" i="10"/>
  <c r="E34" i="10"/>
  <c r="E32" i="10"/>
  <c r="E30" i="10"/>
  <c r="E29" i="10"/>
  <c r="E22" i="10"/>
  <c r="F22" i="10" s="1"/>
  <c r="C22" i="10"/>
  <c r="E21" i="10"/>
  <c r="E19" i="10"/>
  <c r="E17" i="10"/>
  <c r="C12" i="10"/>
  <c r="F4" i="10"/>
  <c r="F5" i="10" s="1"/>
  <c r="E4" i="10"/>
  <c r="E5" i="10" s="1"/>
  <c r="E6" i="10" s="1"/>
  <c r="E7" i="10" s="1"/>
  <c r="E8" i="10" s="1"/>
  <c r="E9" i="10" s="1"/>
  <c r="E10" i="10" s="1"/>
  <c r="F42" i="9"/>
  <c r="F41" i="9"/>
  <c r="F43" i="9" s="1"/>
  <c r="E22" i="9"/>
  <c r="E21" i="9"/>
  <c r="E20" i="9"/>
  <c r="E15" i="9"/>
  <c r="C11" i="9"/>
  <c r="F8" i="9"/>
  <c r="G6" i="9"/>
  <c r="F6" i="9"/>
  <c r="F3" i="9"/>
  <c r="D23" i="25" l="1"/>
  <c r="E23" i="25" s="1"/>
  <c r="E22" i="25"/>
  <c r="O53" i="18"/>
  <c r="O54" i="18" s="1"/>
  <c r="P51" i="18" s="1"/>
  <c r="E59" i="14"/>
  <c r="G5" i="10"/>
  <c r="D6" i="10" s="1"/>
  <c r="F6" i="10" s="1"/>
  <c r="G4" i="10"/>
  <c r="P53" i="18" l="1"/>
  <c r="P54" i="18"/>
  <c r="Q51" i="18" s="1"/>
  <c r="G6" i="10"/>
  <c r="F7" i="10"/>
  <c r="G7" i="10" s="1"/>
  <c r="D8" i="10" s="1"/>
  <c r="F8" i="10" s="1"/>
  <c r="Q53" i="18" l="1"/>
  <c r="Q54" i="18" s="1"/>
  <c r="G8" i="10"/>
  <c r="F9" i="10"/>
  <c r="G9" i="10" s="1"/>
  <c r="D10" i="10" s="1"/>
  <c r="F10" i="10" s="1"/>
  <c r="G10" i="10" s="1"/>
  <c r="F11" i="8" l="1"/>
  <c r="G7" i="8"/>
  <c r="G6" i="8"/>
  <c r="G5" i="8"/>
  <c r="G4" i="8"/>
  <c r="E32" i="7"/>
  <c r="G32" i="7"/>
  <c r="C36" i="7"/>
  <c r="E26" i="7"/>
  <c r="H27" i="7" s="1"/>
  <c r="H29" i="7" s="1"/>
  <c r="C26" i="7"/>
  <c r="E22" i="7"/>
  <c r="B29" i="7"/>
  <c r="B19" i="7"/>
  <c r="H19" i="7"/>
  <c r="H17" i="7"/>
  <c r="D6" i="7"/>
  <c r="B21" i="6"/>
  <c r="B23" i="6" s="1"/>
  <c r="B14" i="6"/>
  <c r="C6" i="6"/>
  <c r="H22" i="6"/>
  <c r="H21" i="6"/>
  <c r="H20" i="6"/>
  <c r="D15" i="6"/>
  <c r="B7" i="6"/>
  <c r="H6" i="6"/>
  <c r="F6" i="6"/>
  <c r="H5" i="6"/>
  <c r="H4" i="6"/>
  <c r="B39" i="7" l="1"/>
  <c r="E36" i="7"/>
  <c r="H37" i="7" s="1"/>
  <c r="H39" i="7" s="1"/>
  <c r="F67" i="2"/>
  <c r="H70" i="2"/>
  <c r="H72" i="2" s="1"/>
  <c r="K46" i="2"/>
  <c r="I46" i="2"/>
  <c r="F48" i="2"/>
  <c r="F46" i="2"/>
  <c r="D46" i="2"/>
  <c r="K48" i="2" l="1"/>
</calcChain>
</file>

<file path=xl/sharedStrings.xml><?xml version="1.0" encoding="utf-8"?>
<sst xmlns="http://schemas.openxmlformats.org/spreadsheetml/2006/main" count="840" uniqueCount="540">
  <si>
    <t>STATO PATRIMONIALE</t>
  </si>
  <si>
    <t>CONTO ECONOMICO</t>
  </si>
  <si>
    <t>RENDICONTO FINANZIARIO</t>
  </si>
  <si>
    <t>NOTA INTEGRATIVA</t>
  </si>
  <si>
    <t>CAPITALE DI FUNZIONAMENTO</t>
  </si>
  <si>
    <t>CAPITALE</t>
  </si>
  <si>
    <t>misurare il reddito</t>
  </si>
  <si>
    <t>REDDITO</t>
  </si>
  <si>
    <t>Che cos'è il bilancio ?</t>
  </si>
  <si>
    <t>SITUAZIAZIONE PATRIMONIALE</t>
  </si>
  <si>
    <t>DINAMICA REDDITUALE</t>
  </si>
  <si>
    <t>DINAMICA FINANZIARIA</t>
  </si>
  <si>
    <t>SCEGLIERE UN CRITERIO DI VALUTAZIONE</t>
  </si>
  <si>
    <t>IL CRITERIO DIPENDE DALLA FINALITA'</t>
  </si>
  <si>
    <t>QUALI SONO LE FINALITA' ?</t>
  </si>
  <si>
    <t>valutazione dell'azienda per la cessione</t>
  </si>
  <si>
    <t>NOZIONE</t>
  </si>
  <si>
    <t>CAPITALE ECONOMICO/DI CESSIONE</t>
  </si>
  <si>
    <t>CRITERIO</t>
  </si>
  <si>
    <t>ATTUALIZZIONE DEI REDDITI FUTURI</t>
  </si>
  <si>
    <t>determinare il risultato della liquidazione</t>
  </si>
  <si>
    <t>VALORE NETTO DI REALIZZO</t>
  </si>
  <si>
    <t>CAPITALE DI LIQUIDAZIONE</t>
  </si>
  <si>
    <t>COSTO</t>
  </si>
  <si>
    <t>CAPITALE DI FUNZIONAMENTO AL 31/12/2020</t>
  </si>
  <si>
    <t>BANCA</t>
  </si>
  <si>
    <t>CREDITI</t>
  </si>
  <si>
    <t>MACCH.</t>
  </si>
  <si>
    <t>FABBRICATO</t>
  </si>
  <si>
    <t>MAGAZZ</t>
  </si>
  <si>
    <t>DEBITI</t>
  </si>
  <si>
    <t>MUTUO</t>
  </si>
  <si>
    <t>PATR. NETTO</t>
  </si>
  <si>
    <t>CAPITALE DI FUNZIONAMENTO AL 31/12/2021</t>
  </si>
  <si>
    <t>PN INIZ</t>
  </si>
  <si>
    <t>PN FINALE</t>
  </si>
  <si>
    <t>VARIAZ</t>
  </si>
  <si>
    <t>reddito</t>
  </si>
  <si>
    <t>RICAVI</t>
  </si>
  <si>
    <t>COSTI</t>
  </si>
  <si>
    <t>conto economico 2021</t>
  </si>
  <si>
    <t>banca iniz</t>
  </si>
  <si>
    <t>banca finale</t>
  </si>
  <si>
    <t>incassi della gestione</t>
  </si>
  <si>
    <t>pagamenti della gestione</t>
  </si>
  <si>
    <t>pagato debiti</t>
  </si>
  <si>
    <t>I divesi valori che compongono il bilancio</t>
  </si>
  <si>
    <t>quantità economiche</t>
  </si>
  <si>
    <t>rilevazioni di esercizio</t>
  </si>
  <si>
    <t>scritture di integrazione e di storno</t>
  </si>
  <si>
    <t>valori stimati e congetturati</t>
  </si>
  <si>
    <t>DIVERSI METODI DI VALUTAZIONE</t>
  </si>
  <si>
    <t>DIVERSI BILANCI TUTTI VERI</t>
  </si>
  <si>
    <t>LOGICA</t>
  </si>
  <si>
    <t>ECONOMICA</t>
  </si>
  <si>
    <t>BILANCIO</t>
  </si>
  <si>
    <t>PUBBLICO</t>
  </si>
  <si>
    <t>INTERNO</t>
  </si>
  <si>
    <t>FISCALE</t>
  </si>
  <si>
    <t>TUIR</t>
  </si>
  <si>
    <t>--------&gt;</t>
  </si>
  <si>
    <t>NAZIONALE</t>
  </si>
  <si>
    <t>Direttiva 34/2013</t>
  </si>
  <si>
    <t>codice civile</t>
  </si>
  <si>
    <t>OIC</t>
  </si>
  <si>
    <t>IAS/IFRS</t>
  </si>
  <si>
    <t>Reg. UE 1606/2002</t>
  </si>
  <si>
    <t>ricevo ordine dal cliente</t>
  </si>
  <si>
    <t>accetto ordine</t>
  </si>
  <si>
    <t>consegno la merce</t>
  </si>
  <si>
    <t>emetto la fattura</t>
  </si>
  <si>
    <t>incasso la fattura</t>
  </si>
  <si>
    <t>CASSA</t>
  </si>
  <si>
    <t>CONCLUSIONE DEL CONTRATTO</t>
  </si>
  <si>
    <t xml:space="preserve">ESECUZIONE DEL CONTRATTO </t>
  </si>
  <si>
    <t>DIRITTO DI INCASSARE</t>
  </si>
  <si>
    <t xml:space="preserve">VARIAZIONE FINANZIARIA </t>
  </si>
  <si>
    <t>registrazione</t>
  </si>
  <si>
    <t>CRITERI PER CLASSIFICARE LE VOCI DELLO STATO PATRIMONIALE</t>
  </si>
  <si>
    <t>NATURA DEI VALORI</t>
  </si>
  <si>
    <t>valori numerari/non numerari</t>
  </si>
  <si>
    <t>valori finanziari/non finanziari</t>
  </si>
  <si>
    <t>valori comuni a 2 esercizi/ più eserci</t>
  </si>
  <si>
    <t xml:space="preserve">LIQUIDITA'/ESIGIBILITA' </t>
  </si>
  <si>
    <t>attività a breve</t>
  </si>
  <si>
    <t>pn</t>
  </si>
  <si>
    <t>passivo a medio/lungo termine</t>
  </si>
  <si>
    <t>passivo a breve</t>
  </si>
  <si>
    <t>DESTINAZIONE</t>
  </si>
  <si>
    <t>attività ciclo operativo (circolanti)</t>
  </si>
  <si>
    <t>attività non a breve (immobilizz)</t>
  </si>
  <si>
    <t>attività usate più clicli (immobilizzate)</t>
  </si>
  <si>
    <t xml:space="preserve">passivo per più cicli </t>
  </si>
  <si>
    <t>passivo circolante</t>
  </si>
  <si>
    <t>CRITERI PER CLASSIFICARE IL CONTO ECONOMICO</t>
  </si>
  <si>
    <t>A SEZIONI CONTRAPPOSTE</t>
  </si>
  <si>
    <t>dare</t>
  </si>
  <si>
    <t>avere</t>
  </si>
  <si>
    <t>+</t>
  </si>
  <si>
    <t>-</t>
  </si>
  <si>
    <t>CONTO ECONOMIC</t>
  </si>
  <si>
    <t>costi</t>
  </si>
  <si>
    <t>ricavi</t>
  </si>
  <si>
    <t>SCALARE</t>
  </si>
  <si>
    <t>GESTIONE OPERATIVA</t>
  </si>
  <si>
    <t>GESTIONE FINANZIARIA</t>
  </si>
  <si>
    <t>IMPOSTE</t>
  </si>
  <si>
    <t>classificazione dei costi:</t>
  </si>
  <si>
    <t>PER NATURA</t>
  </si>
  <si>
    <t>PER DESTINAZIONE</t>
  </si>
  <si>
    <t>RICAVI NETTI</t>
  </si>
  <si>
    <t>COSTO DEL VENDUTO</t>
  </si>
  <si>
    <t>REDDITO OPERTIVO</t>
  </si>
  <si>
    <t>PROVENTI E ONERI FINANZIARI</t>
  </si>
  <si>
    <t>REDDITO NETTO</t>
  </si>
  <si>
    <t>VALORE DELLA PRODUZIONE</t>
  </si>
  <si>
    <t>COSTO DELLA PRODUZIONE</t>
  </si>
  <si>
    <t>conto economico</t>
  </si>
  <si>
    <t>acquisto</t>
  </si>
  <si>
    <t>q.tà</t>
  </si>
  <si>
    <t>prezzo</t>
  </si>
  <si>
    <t>vendo</t>
  </si>
  <si>
    <t>pn iniz</t>
  </si>
  <si>
    <t>sp finale</t>
  </si>
  <si>
    <t>clienti</t>
  </si>
  <si>
    <t>fornit</t>
  </si>
  <si>
    <t>riman</t>
  </si>
  <si>
    <t>rim fin</t>
  </si>
  <si>
    <t>COSTO PRODUZIONE</t>
  </si>
  <si>
    <t>RICAVO DI VENDITA</t>
  </si>
  <si>
    <t>MARGINE</t>
  </si>
  <si>
    <t>AL 31/12 SOSTENUTI COSTI</t>
  </si>
  <si>
    <t>STATO DI AVANZAMENTO DEI LAVORI</t>
  </si>
  <si>
    <t>METODO DEL COSTO</t>
  </si>
  <si>
    <t>RF</t>
  </si>
  <si>
    <t>STATO PATRMONIALE</t>
  </si>
  <si>
    <t>CONTO ECONOMICO 1</t>
  </si>
  <si>
    <t>CONTO ECONOMICO 2</t>
  </si>
  <si>
    <t>RIM INIZ</t>
  </si>
  <si>
    <t>RICAVO</t>
  </si>
  <si>
    <t>Margine</t>
  </si>
  <si>
    <t>valore netto di realizzo</t>
  </si>
  <si>
    <t>scissione del margine</t>
  </si>
  <si>
    <t>RINVIO IL COSTO</t>
  </si>
  <si>
    <t>ANTICIPO IL RICAVO</t>
  </si>
  <si>
    <t>SCINDO IL MARGINE</t>
  </si>
  <si>
    <t>ACQUISTO</t>
  </si>
  <si>
    <t>Q.Tà</t>
  </si>
  <si>
    <t>PREZZO</t>
  </si>
  <si>
    <t>RIMANEZA</t>
  </si>
  <si>
    <t>?</t>
  </si>
  <si>
    <t>LIFO</t>
  </si>
  <si>
    <t>FIFO</t>
  </si>
  <si>
    <t>COSTO MEDIO</t>
  </si>
  <si>
    <t>LAST IN FIRST OUR</t>
  </si>
  <si>
    <t>CARICHI</t>
  </si>
  <si>
    <t>SCARICHI</t>
  </si>
  <si>
    <t>FIRS IN FIRS OUT</t>
  </si>
  <si>
    <t>val. unitari</t>
  </si>
  <si>
    <t>rim iniz</t>
  </si>
  <si>
    <t>prelievo</t>
  </si>
  <si>
    <t>rim. Finale</t>
  </si>
  <si>
    <t>LIFO DI PERIODO</t>
  </si>
  <si>
    <t>LIFO DI MOVIMENTO</t>
  </si>
  <si>
    <t>LIFO A SCATTI ANNUALE</t>
  </si>
  <si>
    <t>RIMANENZA X</t>
  </si>
  <si>
    <t>si scompone per anno di formazione</t>
  </si>
  <si>
    <t>anno x-1</t>
  </si>
  <si>
    <t>anno x</t>
  </si>
  <si>
    <t>RIMANENZA X+1</t>
  </si>
  <si>
    <t>anno x+1</t>
  </si>
  <si>
    <t>costo medio di acquisto anno x+1</t>
  </si>
  <si>
    <t>RIMANENZA X+2</t>
  </si>
  <si>
    <t>anno x+2</t>
  </si>
  <si>
    <t>costo medio di acquisto anno x+2</t>
  </si>
  <si>
    <t>RIMANENZA X+3</t>
  </si>
  <si>
    <t>RIMANENZA X+4</t>
  </si>
  <si>
    <t>anno x+4</t>
  </si>
  <si>
    <t>costo medio d'acquisto x+4</t>
  </si>
  <si>
    <t>COSTO MEDIO PONDERATO DI MOVIMENTO</t>
  </si>
  <si>
    <t>costi u</t>
  </si>
  <si>
    <r>
      <rPr>
        <sz val="11"/>
        <color theme="1"/>
        <rFont val="Calibri"/>
        <family val="2"/>
      </rPr>
      <t>∑</t>
    </r>
    <r>
      <rPr>
        <sz val="15.4"/>
        <color theme="1"/>
        <rFont val="Calibri"/>
        <family val="2"/>
      </rPr>
      <t xml:space="preserve"> q.tà</t>
    </r>
  </si>
  <si>
    <r>
      <t>∑</t>
    </r>
    <r>
      <rPr>
        <sz val="15.4"/>
        <color theme="1"/>
        <rFont val="Calibri"/>
        <family val="2"/>
      </rPr>
      <t xml:space="preserve"> q.tà</t>
    </r>
    <r>
      <rPr>
        <sz val="11"/>
        <color theme="1"/>
        <rFont val="Calibri"/>
        <family val="2"/>
      </rPr>
      <t xml:space="preserve"> x costi u</t>
    </r>
  </si>
  <si>
    <t>cmp</t>
  </si>
  <si>
    <t>COSTO MEDIO DI ACQUISTO</t>
  </si>
  <si>
    <t>è un metodo usato per valorizzare l'incremento dell'anno nel LIFO A SCATTI</t>
  </si>
  <si>
    <t>COSTO MEDIO DI PERIODO</t>
  </si>
  <si>
    <t>VALUTAZIONE AL COSTO</t>
  </si>
  <si>
    <t>COSTO DI ACQUISTO</t>
  </si>
  <si>
    <t>materie prime</t>
  </si>
  <si>
    <t>mano d'opera diretta</t>
  </si>
  <si>
    <t>consumi diretti energia</t>
  </si>
  <si>
    <t>COSTO VARIABILE INDUSTRIALE</t>
  </si>
  <si>
    <t>quota di costi fissi industriali</t>
  </si>
  <si>
    <t>(costi fissi / base imputazione es. n° prodotti fabbricati)</t>
  </si>
  <si>
    <t>COSTO PIENO INDUSTRIALE</t>
  </si>
  <si>
    <t>costi commerciali</t>
  </si>
  <si>
    <t>COSTO PIENO OPERATIVO</t>
  </si>
  <si>
    <t>quota di costi amminstrativi e generali (costi amm e gen / n° prodotti fabbricati)</t>
  </si>
  <si>
    <t>COSTO PIENO AZIENDALE</t>
  </si>
  <si>
    <t>COSTO EFFETTIVO</t>
  </si>
  <si>
    <t>COSTO STANDARD</t>
  </si>
  <si>
    <t>COSTO DI PRODUZIONE IDUSTRIALE CON CAPACITA' PRODUTTIVA NORMALE</t>
  </si>
  <si>
    <t>VALORE DI MERCATO</t>
  </si>
  <si>
    <t xml:space="preserve">PREZZO </t>
  </si>
  <si>
    <t>OTTONE</t>
  </si>
  <si>
    <t>ALTRI COSTI</t>
  </si>
  <si>
    <t xml:space="preserve">MARGINE </t>
  </si>
  <si>
    <t>PROVVIGIONI</t>
  </si>
  <si>
    <t>SEMILAVORATO</t>
  </si>
  <si>
    <t>VALORE DI VENDITA</t>
  </si>
  <si>
    <t>COSTI DA SOSTE</t>
  </si>
  <si>
    <t>PROVV</t>
  </si>
  <si>
    <t>PRODUZ</t>
  </si>
  <si>
    <t>VALUTAZIONE DELLE OPERE IN CORSO SU ORDINAZIONE</t>
  </si>
  <si>
    <t>CRITERIO DELLA SCISSIONE DEL MARGINE / DELLA PERCENTUALE DI COMPLETAMENTO</t>
  </si>
  <si>
    <t>CRITERIO DEL COSTO / DELLA COMMESSA COMPLETATA</t>
  </si>
  <si>
    <t>requisiti:</t>
  </si>
  <si>
    <t>contratto vincolante</t>
  </si>
  <si>
    <t>certezza del corrispettivo</t>
  </si>
  <si>
    <t>misurabile lo stato di avanzamento del lavoro</t>
  </si>
  <si>
    <t>tempo di esecuzione ultraannuale</t>
  </si>
  <si>
    <t>metodi per misurare l'avanzamento dei lavori</t>
  </si>
  <si>
    <t>cost to cost</t>
  </si>
  <si>
    <t>costi sostenuti sino al 31,12 / totale costi sostenuti e da sostenere</t>
  </si>
  <si>
    <t>ore lavorate</t>
  </si>
  <si>
    <t>misurazioni fisiche</t>
  </si>
  <si>
    <t>unità consegnate</t>
  </si>
  <si>
    <t>revisione del corrispettivo</t>
  </si>
  <si>
    <t>clausole di revisione prezzo</t>
  </si>
  <si>
    <t>riserve</t>
  </si>
  <si>
    <t>contabilizzazione</t>
  </si>
  <si>
    <t>contratto: corrispettivo 3000</t>
  </si>
  <si>
    <t>stima costi: 2000</t>
  </si>
  <si>
    <t>acconti sulla base degli STATI AVANZAMENTO LAVORI</t>
  </si>
  <si>
    <t>totale</t>
  </si>
  <si>
    <t>acconti</t>
  </si>
  <si>
    <t>VALORE PRODUZIONE</t>
  </si>
  <si>
    <t>Ricavi</t>
  </si>
  <si>
    <t>Variazione opere in corso</t>
  </si>
  <si>
    <t>DIFF A - B</t>
  </si>
  <si>
    <t>ATTIVO:</t>
  </si>
  <si>
    <t>Rimanenza opere in corso</t>
  </si>
  <si>
    <t>PASSIVO:</t>
  </si>
  <si>
    <t>acconti da clienti</t>
  </si>
  <si>
    <t>percetuale avanzamento</t>
  </si>
  <si>
    <t xml:space="preserve"> A totale valore produzione</t>
  </si>
  <si>
    <t>B COSTI DELLA PRODUZIONE</t>
  </si>
  <si>
    <t>A VALORE PRODUZIONE</t>
  </si>
  <si>
    <t>lavoro fatto in ogni anno</t>
  </si>
  <si>
    <t>valore scissione margine</t>
  </si>
  <si>
    <t>corrispettivo</t>
  </si>
  <si>
    <t>margine</t>
  </si>
  <si>
    <t>RETTIFICA</t>
  </si>
  <si>
    <t>Rim. Finali</t>
  </si>
  <si>
    <t>- Rim inizilali</t>
  </si>
  <si>
    <t>COSTI PRODUZIONE</t>
  </si>
  <si>
    <t>percentuale avanzamento</t>
  </si>
  <si>
    <t>- rim iniziali</t>
  </si>
  <si>
    <t>COSTI DELLA PRODUZIONE</t>
  </si>
  <si>
    <t>percentuale avanzam</t>
  </si>
  <si>
    <t>avanzamento nell'esercizio</t>
  </si>
  <si>
    <t>MACCHINARI (SP)</t>
  </si>
  <si>
    <t>merci c/acquisti ( R)</t>
  </si>
  <si>
    <t>merci c/vendite ( R)</t>
  </si>
  <si>
    <t>PLUSVALENZA ( r)</t>
  </si>
  <si>
    <t>COSTI/RICAVI E RIM</t>
  </si>
  <si>
    <t>COSTI E COSTI</t>
  </si>
  <si>
    <t>VALORE DI PRIMA ISCRIZIONE</t>
  </si>
  <si>
    <t>+ COSTI ACCESSORI</t>
  </si>
  <si>
    <t>CONFERIMENTO</t>
  </si>
  <si>
    <t>PERMUTA</t>
  </si>
  <si>
    <t>PERIZIA</t>
  </si>
  <si>
    <t>CONTINUITA' DEL COSTO DEL BENE CEDUTO</t>
  </si>
  <si>
    <t>VALORE CORRENTE (CON PLUSVALENZA)</t>
  </si>
  <si>
    <t>GRATUITO</t>
  </si>
  <si>
    <t>MACCHINARIO</t>
  </si>
  <si>
    <t>FORNITORI</t>
  </si>
  <si>
    <t>AMMORTAMENTO IN 10 ANNI</t>
  </si>
  <si>
    <t>4A</t>
  </si>
  <si>
    <t>DIVIDIDO IN 10 ANNI</t>
  </si>
  <si>
    <t>4B</t>
  </si>
  <si>
    <t>risconti passivi</t>
  </si>
  <si>
    <t>CONTRIBUTI ( R)</t>
  </si>
  <si>
    <t>COSTRUZIONE INTERNA (IN ECONOMIA)</t>
  </si>
  <si>
    <t>stato patrimoniale</t>
  </si>
  <si>
    <t>acquisti</t>
  </si>
  <si>
    <t>servizi</t>
  </si>
  <si>
    <t>lavoro</t>
  </si>
  <si>
    <t xml:space="preserve">rim. Finali </t>
  </si>
  <si>
    <t>costruzioni interne</t>
  </si>
  <si>
    <t>rim. Finali</t>
  </si>
  <si>
    <t>var. rim. Prodotti fininiti, sem. opere su ordinaz</t>
  </si>
  <si>
    <t>incremento delle costruzioni interne</t>
  </si>
  <si>
    <t>Imm. In corso (costruz. Interne)</t>
  </si>
  <si>
    <t>CRITERIO PER VALUTARE COSTR. INTERNE ?</t>
  </si>
  <si>
    <t>VALUTAZIONE AL VALORE CORRENTE</t>
  </si>
  <si>
    <t xml:space="preserve">UTILE </t>
  </si>
  <si>
    <t>QUALE CONFIGURAZIONE DI COSTO ?</t>
  </si>
  <si>
    <t>COSTO VARIABILE DI PRODUZIONE (DIRETTO)</t>
  </si>
  <si>
    <t>MACCHINARIO (sp)</t>
  </si>
  <si>
    <t>FONDO AMMORT MACCHINARIO (sp)</t>
  </si>
  <si>
    <t>QUOTA DI AMMORT ( r)</t>
  </si>
  <si>
    <t>PANDA</t>
  </si>
  <si>
    <t>DURATA</t>
  </si>
  <si>
    <t>- FONDO AMMOR</t>
  </si>
  <si>
    <t>valore netto</t>
  </si>
  <si>
    <t>PIANO DI AMMORTAMENTO</t>
  </si>
  <si>
    <t>VALORE DA AMMORTIZZARE</t>
  </si>
  <si>
    <t>VITA UTILE</t>
  </si>
  <si>
    <t xml:space="preserve">CRITERIO DI RIPARTO </t>
  </si>
  <si>
    <t>quote costanti</t>
  </si>
  <si>
    <t>quote crescenti</t>
  </si>
  <si>
    <t>quote decrescenti</t>
  </si>
  <si>
    <t>funzionale (quantità di prodotto)</t>
  </si>
  <si>
    <t>km anno / 280 000</t>
  </si>
  <si>
    <t>perdita di valore</t>
  </si>
  <si>
    <t>politiche di bilancio</t>
  </si>
  <si>
    <t>in funzione dei risultati lordi / capacità di ammortamento</t>
  </si>
  <si>
    <t>SVALUTAZIONE DELLE IMMOBILIZZAZIONI</t>
  </si>
  <si>
    <t>QUANTO IL VALORE NETTO CONTABILE DEVE ESSERE SVALUTATO ?</t>
  </si>
  <si>
    <t>VALORE D'USO</t>
  </si>
  <si>
    <t>VALORE DI MERCATO (FAIR VALUE)</t>
  </si>
  <si>
    <t>VNC = 100</t>
  </si>
  <si>
    <t>valore netto di realizzo, prezzo di vendita - costi da sostenere</t>
  </si>
  <si>
    <t>capacità di ammortamento</t>
  </si>
  <si>
    <t>valore attuale dei flussi di cassa prodotti in futuro</t>
  </si>
  <si>
    <t xml:space="preserve"> maggiore tra:</t>
  </si>
  <si>
    <t>PERDITA</t>
  </si>
  <si>
    <t>CAP SOC</t>
  </si>
  <si>
    <t>PN</t>
  </si>
  <si>
    <t>IMM</t>
  </si>
  <si>
    <t>ALTR ATT</t>
  </si>
  <si>
    <t>RISERVA</t>
  </si>
  <si>
    <t>ordinarie</t>
  </si>
  <si>
    <t>incrementative</t>
  </si>
  <si>
    <t>cicliche</t>
  </si>
  <si>
    <t>SPESE DI MANUTENZIONE E RIPARAZIONE</t>
  </si>
  <si>
    <t>SPESANO</t>
  </si>
  <si>
    <t>CAPITALIZZANO</t>
  </si>
  <si>
    <t>FONDO</t>
  </si>
  <si>
    <t>piano di ammortamento</t>
  </si>
  <si>
    <t>costo</t>
  </si>
  <si>
    <t>valore da ammortizzare</t>
  </si>
  <si>
    <t>periodo</t>
  </si>
  <si>
    <t>ammort.</t>
  </si>
  <si>
    <t>fondo amm</t>
  </si>
  <si>
    <t>valore netto cont</t>
  </si>
  <si>
    <t>ammortamento (CE)</t>
  </si>
  <si>
    <t>a</t>
  </si>
  <si>
    <t>fondo ammortamento SP</t>
  </si>
  <si>
    <t>valore di mercato</t>
  </si>
  <si>
    <t>valore d'uso</t>
  </si>
  <si>
    <t>svalutazione CE</t>
  </si>
  <si>
    <t>fondo svalutazione</t>
  </si>
  <si>
    <t>fondo svalut</t>
  </si>
  <si>
    <t>svalut</t>
  </si>
  <si>
    <t>macchinari inizio</t>
  </si>
  <si>
    <t>macchinari fine es</t>
  </si>
  <si>
    <t>fondo iniz</t>
  </si>
  <si>
    <t>ammort</t>
  </si>
  <si>
    <t>fondo finale</t>
  </si>
  <si>
    <t>utilizzo fondo</t>
  </si>
  <si>
    <t>macchinario venduto</t>
  </si>
  <si>
    <t>fondo</t>
  </si>
  <si>
    <t>vnc</t>
  </si>
  <si>
    <t>plusvalenza</t>
  </si>
  <si>
    <t>prezzo di vendita</t>
  </si>
  <si>
    <t>VALORE RESIDUO</t>
  </si>
  <si>
    <t>VALORE DA AMMORTIZZ</t>
  </si>
  <si>
    <t>QUOTA DI AMMORT</t>
  </si>
  <si>
    <t>QUOTA AMMORT</t>
  </si>
  <si>
    <t>FONDO AMM</t>
  </si>
  <si>
    <t>VALORE NETTO</t>
  </si>
  <si>
    <t>FAIR VALUE</t>
  </si>
  <si>
    <t>cambiamo del piano di ammortamento anno t3</t>
  </si>
  <si>
    <t>SVALUTAZ</t>
  </si>
  <si>
    <t>TOT CE</t>
  </si>
  <si>
    <t>REGOLE FISCALI PER AMMORTAMENTI</t>
  </si>
  <si>
    <t>PONE LIMITE MASSIMO ALLA QUOTA DI AMMORTAMENTO</t>
  </si>
  <si>
    <t>COEFFICIENTI DI AMMORTAMENTO</t>
  </si>
  <si>
    <t>RIDUONE A META' NELL'ANNO DI ENTRATA IN FUNZIONE</t>
  </si>
  <si>
    <t>AMMORTAMENTO ACCELLERATO</t>
  </si>
  <si>
    <t>AMMORTAMENTO ANTICIPATO</t>
  </si>
  <si>
    <t>CONTABILIZZAZIONE BENI IN LOCAZIONE FINANZIARIA</t>
  </si>
  <si>
    <t>METODO PATRIMONIALE</t>
  </si>
  <si>
    <t>METODO FINANZIARIO</t>
  </si>
  <si>
    <t>come una locazione</t>
  </si>
  <si>
    <t>come un acquisto con pagamento a rate</t>
  </si>
  <si>
    <t>VALUTAZIONE DEI TITOLI E DELLE PARTECIPAZIONI</t>
  </si>
  <si>
    <t>TITOLI DI DEBITO</t>
  </si>
  <si>
    <t>PARTECIPAZIONI</t>
  </si>
  <si>
    <t>DERIVATI</t>
  </si>
  <si>
    <t>CIRCOLANTE/IMMOBILIZZAZIONI</t>
  </si>
  <si>
    <t>Tipologie di attivià:</t>
  </si>
  <si>
    <t>Classificazione:</t>
  </si>
  <si>
    <t>Criteri di valutazione:</t>
  </si>
  <si>
    <t>COSTO (COSTO AMMORTIZZATO)</t>
  </si>
  <si>
    <t>PATRIMONIO NETTO</t>
  </si>
  <si>
    <t>BILANCIO NAZIONALE</t>
  </si>
  <si>
    <t>Attività del circolante:</t>
  </si>
  <si>
    <t>svaluatazione al VALORE NETTO DI REALIZZO</t>
  </si>
  <si>
    <t>Attività immobilizzate:</t>
  </si>
  <si>
    <t>Titoli di debito: COSTO AMMORTIZZATO</t>
  </si>
  <si>
    <t>svalutazione per perdita durevole</t>
  </si>
  <si>
    <t>Partecipazioni:</t>
  </si>
  <si>
    <t>BILANCIO IAS/IFRS</t>
  </si>
  <si>
    <t>FAIR VALUE (ce)</t>
  </si>
  <si>
    <t>Fair value (no CE)</t>
  </si>
  <si>
    <t>società che paga i dividendi</t>
  </si>
  <si>
    <t>banca</t>
  </si>
  <si>
    <t>attività</t>
  </si>
  <si>
    <t>debiti</t>
  </si>
  <si>
    <t xml:space="preserve">proventi finanziari </t>
  </si>
  <si>
    <t>Metodo del patrimonio netto</t>
  </si>
  <si>
    <t>SP BETA</t>
  </si>
  <si>
    <t>attitità</t>
  </si>
  <si>
    <t>SP ALFA</t>
  </si>
  <si>
    <t>PARTEC</t>
  </si>
  <si>
    <t>CE ALFA</t>
  </si>
  <si>
    <t>METODO DEL PATRIMONIO NETTO = CONSOLIDAMENTO SINTENTICO PROPORZIONALE</t>
  </si>
  <si>
    <t>BILANCIO CONSOLIDATO = CONSOLIDAMENTO ANALITICO GLOBALE</t>
  </si>
  <si>
    <t>chi riceve i dividenti e valuta la part AL COSTO:</t>
  </si>
  <si>
    <t>chi riceve i dividenti e valuta la part AL PN</t>
  </si>
  <si>
    <t>partecipazione</t>
  </si>
  <si>
    <t>acquisto 60% di Beta PREZZO DI 90</t>
  </si>
  <si>
    <t>PREZZO DI ACQUISTO</t>
  </si>
  <si>
    <t>CORRISPONDE PN</t>
  </si>
  <si>
    <t>60% DI 100</t>
  </si>
  <si>
    <t>DIFFERENZA</t>
  </si>
  <si>
    <t>SP BETA valore economico</t>
  </si>
  <si>
    <t>W</t>
  </si>
  <si>
    <t>imposte diff</t>
  </si>
  <si>
    <t>avviamento</t>
  </si>
  <si>
    <t>SCOMPOSIZIONE DEL PREZZO DI ACQUISTO</t>
  </si>
  <si>
    <t>IL PREZZO DI 90 SI COMPONE DI:</t>
  </si>
  <si>
    <t>PLUSVALORE ATTIVITA'</t>
  </si>
  <si>
    <t>IMPOSTE DIFF PLUSV</t>
  </si>
  <si>
    <t>AVVIAMENTO</t>
  </si>
  <si>
    <t>trattamento nei bilanci post acquisto</t>
  </si>
  <si>
    <t>adeguamento con metodo PN</t>
  </si>
  <si>
    <t>ammortizzato lungo vita utile residua di attività</t>
  </si>
  <si>
    <t>utilizzato lungo vita utile residua di attività</t>
  </si>
  <si>
    <t>ammortizzato</t>
  </si>
  <si>
    <t>differenza</t>
  </si>
  <si>
    <t>plusvalori:</t>
  </si>
  <si>
    <t>titoli</t>
  </si>
  <si>
    <t>imposte</t>
  </si>
  <si>
    <t>impianti</t>
  </si>
  <si>
    <t>immobili</t>
  </si>
  <si>
    <t>brevetti</t>
  </si>
  <si>
    <t>totale plusvalenze nette</t>
  </si>
  <si>
    <t>VALUTAZIONE PARTECIPAZIONE</t>
  </si>
  <si>
    <t>1/1/X</t>
  </si>
  <si>
    <t>incasso dividendi</t>
  </si>
  <si>
    <t>aumento di capitale</t>
  </si>
  <si>
    <t>31/12/x</t>
  </si>
  <si>
    <t>recepire utile della partecipata</t>
  </si>
  <si>
    <t>utile partecipata</t>
  </si>
  <si>
    <t>ammmortamento delle differenze</t>
  </si>
  <si>
    <t>avviamemto</t>
  </si>
  <si>
    <t>utile rettificato</t>
  </si>
  <si>
    <t>svalutaz. Partec</t>
  </si>
  <si>
    <t>valore finale partecipazione pn</t>
  </si>
  <si>
    <t>valore finale partecipazione al costo</t>
  </si>
  <si>
    <t>eliminazione utile interno non realizzato</t>
  </si>
  <si>
    <t>rinvio imposte su utile interno</t>
  </si>
  <si>
    <t>A</t>
  </si>
  <si>
    <t>B</t>
  </si>
  <si>
    <t xml:space="preserve">RIVENDE A TERZI </t>
  </si>
  <si>
    <t>NESSUNA RETTIFICA</t>
  </si>
  <si>
    <t>MAGAZZINO</t>
  </si>
  <si>
    <t>RETTIFICA DI 5</t>
  </si>
  <si>
    <t>patrimonio netto</t>
  </si>
  <si>
    <t>plusvalori latenti</t>
  </si>
  <si>
    <t>immobilizzazioni</t>
  </si>
  <si>
    <t>plusv</t>
  </si>
  <si>
    <t>plusv netta</t>
  </si>
  <si>
    <t>Totale plusvalenze latenti nette</t>
  </si>
  <si>
    <t>acquisto partecipazione</t>
  </si>
  <si>
    <t>30/9/x</t>
  </si>
  <si>
    <t>rettifiche dell'utile:</t>
  </si>
  <si>
    <t>ammortam magg valore imm</t>
  </si>
  <si>
    <t>ammortam brevetto</t>
  </si>
  <si>
    <t>ammortam avviamento</t>
  </si>
  <si>
    <t>svalutazione part</t>
  </si>
  <si>
    <t>valore finale</t>
  </si>
  <si>
    <t>VALUTAZIONE DELLA PARTECIPAZIONE metodo PN</t>
  </si>
  <si>
    <t>VALUTAZIONE DELLA PARTECIPAZIONE metodo COSTO</t>
  </si>
  <si>
    <t>SCOMPOSIZIONE DEL PREZZO DI ACQUISTO DEL 2009</t>
  </si>
  <si>
    <t>PLUSVALENZE FABBRICATI</t>
  </si>
  <si>
    <t>IMPOSTE LATENTI</t>
  </si>
  <si>
    <t>PLUSVALEZE NETTE</t>
  </si>
  <si>
    <t>VALUTAZIONE DELLA PARTECIPAZIONE 2013</t>
  </si>
  <si>
    <t>VALORE INIZIALE</t>
  </si>
  <si>
    <t xml:space="preserve">DIVIDENDI </t>
  </si>
  <si>
    <t>partecipazioni</t>
  </si>
  <si>
    <t xml:space="preserve">utile </t>
  </si>
  <si>
    <t>ammort plusv fabbricati</t>
  </si>
  <si>
    <t>ammort avviamento</t>
  </si>
  <si>
    <t>valore finali</t>
  </si>
  <si>
    <t xml:space="preserve">partecipazione </t>
  </si>
  <si>
    <t>rivalutazione partecip (CE)</t>
  </si>
  <si>
    <t>capitale sociale</t>
  </si>
  <si>
    <t>partec</t>
  </si>
  <si>
    <t>partec 40%</t>
  </si>
  <si>
    <t>STATO PATRIMONIALE PARTECIPATA</t>
  </si>
  <si>
    <t>ATTIVITA</t>
  </si>
  <si>
    <t>CONTO ECONOMICO PARTECIPATA</t>
  </si>
  <si>
    <t>UTILE ESER PRECED</t>
  </si>
  <si>
    <t>RISERVE</t>
  </si>
  <si>
    <t>AZ. C/DIVIDENDO</t>
  </si>
  <si>
    <t>RISERVA VINCOLATA RIV PAR</t>
  </si>
  <si>
    <t>RISERVA VINC</t>
  </si>
  <si>
    <t>RISERVA LIBERA</t>
  </si>
  <si>
    <t>valore inziale</t>
  </si>
  <si>
    <t>dividendo</t>
  </si>
  <si>
    <t xml:space="preserve">banca </t>
  </si>
  <si>
    <t>aumento cap. pag</t>
  </si>
  <si>
    <t>recepire l'utile rettificato</t>
  </si>
  <si>
    <t>utile</t>
  </si>
  <si>
    <t>amm avviamento</t>
  </si>
  <si>
    <t>utile interno non real</t>
  </si>
  <si>
    <t>prezzo acquisto da terzi</t>
  </si>
  <si>
    <t>prezzo infragruppo</t>
  </si>
  <si>
    <t>utile infragruppo</t>
  </si>
  <si>
    <t xml:space="preserve">prodotti ceduti infraguppo </t>
  </si>
  <si>
    <t>e rimasti in magazzino</t>
  </si>
  <si>
    <t>magazzino 0,8</t>
  </si>
  <si>
    <t>ACQUISTO 0,8</t>
  </si>
  <si>
    <t>vendita int 2</t>
  </si>
  <si>
    <t>MAGAZZINO 2</t>
  </si>
  <si>
    <t>RIVENDUT 2,5</t>
  </si>
  <si>
    <t>utile infragruppo non realizzato</t>
  </si>
  <si>
    <t xml:space="preserve">utile infragruppo </t>
  </si>
  <si>
    <t>quota 60%</t>
  </si>
  <si>
    <t>imposte relative</t>
  </si>
  <si>
    <t>part</t>
  </si>
  <si>
    <t>rivalut partc CE</t>
  </si>
  <si>
    <t xml:space="preserve">saldo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</si>
</sst>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_-;\-* #,##0_-;_-* &quot;-&quot;??_-;_-@_-"/>
    <numFmt numFmtId="165" formatCode="_-* #,##0\ _€_-;\-* #,##0\ _€_-;_-* &quot;-&quot;??\ _€_-;_-@_-"/>
    <numFmt numFmtId="166" formatCode="0.000%"/>
    <numFmt numFmtId="167" formatCode="0.0000%"/>
    <numFmt numFmtId="168" formatCode="0.0%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15.4"/>
      <color theme="1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1" fillId="0" borderId="0" xfId="0" applyFont="1" applyBorder="1"/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0" xfId="0" quotePrefix="1"/>
    <xf numFmtId="0" fontId="0" fillId="2" borderId="0" xfId="0" applyFill="1"/>
    <xf numFmtId="0" fontId="6" fillId="0" borderId="0" xfId="0" applyFont="1"/>
    <xf numFmtId="9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0" applyNumberFormat="1"/>
    <xf numFmtId="43" fontId="2" fillId="0" borderId="0" xfId="0" applyNumberFormat="1" applyFont="1"/>
    <xf numFmtId="43" fontId="2" fillId="0" borderId="0" xfId="1" applyFont="1"/>
    <xf numFmtId="164" fontId="0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ont="1"/>
    <xf numFmtId="9" fontId="0" fillId="0" borderId="0" xfId="2" applyFont="1"/>
    <xf numFmtId="0" fontId="0" fillId="0" borderId="9" xfId="0" applyBorder="1"/>
    <xf numFmtId="9" fontId="8" fillId="0" borderId="0" xfId="2" applyFont="1"/>
    <xf numFmtId="1" fontId="0" fillId="0" borderId="0" xfId="0" applyNumberFormat="1"/>
    <xf numFmtId="1" fontId="0" fillId="0" borderId="9" xfId="0" applyNumberFormat="1" applyBorder="1"/>
    <xf numFmtId="1" fontId="0" fillId="2" borderId="0" xfId="0" applyNumberFormat="1" applyFill="1"/>
    <xf numFmtId="0" fontId="13" fillId="0" borderId="0" xfId="0" applyFont="1"/>
    <xf numFmtId="9" fontId="13" fillId="0" borderId="0" xfId="2" applyFont="1"/>
    <xf numFmtId="165" fontId="13" fillId="0" borderId="0" xfId="1" applyNumberFormat="1" applyFont="1"/>
    <xf numFmtId="1" fontId="14" fillId="0" borderId="0" xfId="0" applyNumberFormat="1" applyFont="1"/>
    <xf numFmtId="43" fontId="0" fillId="0" borderId="0" xfId="1" quotePrefix="1" applyFont="1"/>
    <xf numFmtId="166" fontId="0" fillId="0" borderId="0" xfId="2" applyNumberFormat="1" applyFont="1" applyAlignment="1">
      <alignment horizontal="center"/>
    </xf>
    <xf numFmtId="43" fontId="0" fillId="2" borderId="0" xfId="1" applyFont="1" applyFill="1"/>
    <xf numFmtId="167" fontId="0" fillId="0" borderId="0" xfId="2" applyNumberFormat="1" applyFont="1"/>
    <xf numFmtId="168" fontId="0" fillId="0" borderId="0" xfId="2" applyNumberFormat="1" applyFont="1"/>
    <xf numFmtId="10" fontId="0" fillId="0" borderId="0" xfId="2" applyNumberFormat="1" applyFont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0" fillId="0" borderId="5" xfId="0" applyFill="1" applyBorder="1"/>
    <xf numFmtId="0" fontId="0" fillId="0" borderId="0" xfId="0" applyFill="1" applyBorder="1"/>
    <xf numFmtId="0" fontId="15" fillId="0" borderId="0" xfId="0" applyFont="1"/>
    <xf numFmtId="0" fontId="1" fillId="0" borderId="3" xfId="0" applyFont="1" applyBorder="1"/>
    <xf numFmtId="43" fontId="16" fillId="0" borderId="0" xfId="1" applyFont="1"/>
    <xf numFmtId="43" fontId="2" fillId="2" borderId="0" xfId="1" applyFont="1" applyFill="1"/>
    <xf numFmtId="43" fontId="0" fillId="3" borderId="0" xfId="1" applyFont="1" applyFill="1"/>
    <xf numFmtId="43" fontId="0" fillId="4" borderId="0" xfId="1" applyFont="1" applyFill="1"/>
    <xf numFmtId="43" fontId="2" fillId="4" borderId="0" xfId="1" applyFont="1" applyFill="1"/>
    <xf numFmtId="43" fontId="17" fillId="0" borderId="0" xfId="1" applyFont="1"/>
    <xf numFmtId="43" fontId="18" fillId="0" borderId="0" xfId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1" fillId="0" borderId="7" xfId="0" applyFont="1" applyBorder="1"/>
    <xf numFmtId="0" fontId="1" fillId="0" borderId="1" xfId="0" applyFont="1" applyBorder="1"/>
    <xf numFmtId="0" fontId="12" fillId="0" borderId="2" xfId="0" applyFont="1" applyBorder="1"/>
    <xf numFmtId="0" fontId="1" fillId="2" borderId="0" xfId="0" applyFont="1" applyFill="1"/>
    <xf numFmtId="9" fontId="0" fillId="0" borderId="0" xfId="1" applyNumberFormat="1" applyFont="1"/>
    <xf numFmtId="9" fontId="0" fillId="0" borderId="0" xfId="1" applyNumberFormat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0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43" fontId="22" fillId="0" borderId="0" xfId="1" applyFont="1"/>
    <xf numFmtId="43" fontId="16" fillId="0" borderId="4" xfId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43" fontId="2" fillId="0" borderId="10" xfId="1" applyFont="1" applyBorder="1"/>
    <xf numFmtId="14" fontId="0" fillId="0" borderId="0" xfId="0" applyNumberFormat="1"/>
    <xf numFmtId="43" fontId="0" fillId="0" borderId="2" xfId="0" applyNumberFormat="1" applyBorder="1"/>
    <xf numFmtId="14" fontId="0" fillId="0" borderId="0" xfId="1" applyNumberFormat="1" applyFont="1"/>
    <xf numFmtId="43" fontId="1" fillId="0" borderId="0" xfId="1" applyFont="1"/>
    <xf numFmtId="43" fontId="12" fillId="0" borderId="0" xfId="1" applyFo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3409-6247-4BDE-8D4F-54548A94460D}">
  <dimension ref="A3:K82"/>
  <sheetViews>
    <sheetView topLeftCell="A22" zoomScale="140" zoomScaleNormal="140" workbookViewId="0">
      <selection activeCell="E85" sqref="E85"/>
    </sheetView>
  </sheetViews>
  <sheetFormatPr defaultRowHeight="15" x14ac:dyDescent="0.25"/>
  <cols>
    <col min="5" max="5" width="10.85546875" customWidth="1"/>
    <col min="7" max="7" width="4" customWidth="1"/>
  </cols>
  <sheetData>
    <row r="3" spans="1:7" x14ac:dyDescent="0.25">
      <c r="B3" s="1"/>
    </row>
    <row r="5" spans="1:7" s="2" customFormat="1" x14ac:dyDescent="0.25"/>
    <row r="10" spans="1:7" x14ac:dyDescent="0.25">
      <c r="B10" s="1" t="s">
        <v>8</v>
      </c>
    </row>
    <row r="11" spans="1:7" x14ac:dyDescent="0.25">
      <c r="B11" s="3"/>
      <c r="C11" s="3"/>
      <c r="D11" s="3"/>
      <c r="E11" s="3"/>
      <c r="F11" s="3"/>
      <c r="G11" s="3"/>
    </row>
    <row r="12" spans="1:7" x14ac:dyDescent="0.25">
      <c r="A12">
        <v>1</v>
      </c>
      <c r="B12" t="s">
        <v>9</v>
      </c>
      <c r="F12" t="s">
        <v>0</v>
      </c>
    </row>
    <row r="14" spans="1:7" x14ac:dyDescent="0.25">
      <c r="A14">
        <v>2</v>
      </c>
      <c r="B14" t="s">
        <v>10</v>
      </c>
      <c r="F14" t="s">
        <v>1</v>
      </c>
    </row>
    <row r="15" spans="1:7" x14ac:dyDescent="0.25">
      <c r="B15" s="1"/>
    </row>
    <row r="16" spans="1:7" x14ac:dyDescent="0.25">
      <c r="A16">
        <v>3</v>
      </c>
      <c r="B16" t="s">
        <v>11</v>
      </c>
      <c r="F16" t="s">
        <v>2</v>
      </c>
    </row>
    <row r="18" spans="2:11" x14ac:dyDescent="0.25">
      <c r="F18" t="s">
        <v>3</v>
      </c>
    </row>
    <row r="21" spans="2:11" x14ac:dyDescent="0.25">
      <c r="B21" t="s">
        <v>5</v>
      </c>
    </row>
    <row r="23" spans="2:11" x14ac:dyDescent="0.25">
      <c r="B23" t="s">
        <v>12</v>
      </c>
    </row>
    <row r="25" spans="2:11" x14ac:dyDescent="0.25">
      <c r="B25" t="s">
        <v>13</v>
      </c>
    </row>
    <row r="28" spans="2:11" x14ac:dyDescent="0.25">
      <c r="B28" t="s">
        <v>14</v>
      </c>
      <c r="G28" t="s">
        <v>16</v>
      </c>
      <c r="K28" t="s">
        <v>18</v>
      </c>
    </row>
    <row r="30" spans="2:11" x14ac:dyDescent="0.25">
      <c r="B30">
        <v>1</v>
      </c>
      <c r="C30" t="s">
        <v>15</v>
      </c>
      <c r="G30" t="s">
        <v>17</v>
      </c>
      <c r="K30" t="s">
        <v>19</v>
      </c>
    </row>
    <row r="32" spans="2:11" x14ac:dyDescent="0.25">
      <c r="B32">
        <v>2</v>
      </c>
      <c r="C32" t="s">
        <v>20</v>
      </c>
      <c r="G32" t="s">
        <v>22</v>
      </c>
      <c r="K32" t="s">
        <v>21</v>
      </c>
    </row>
    <row r="34" spans="2:11" s="1" customFormat="1" x14ac:dyDescent="0.25">
      <c r="B34" s="1">
        <v>3</v>
      </c>
      <c r="C34" s="1" t="s">
        <v>6</v>
      </c>
      <c r="G34" s="1" t="s">
        <v>4</v>
      </c>
      <c r="K34" s="1" t="s">
        <v>23</v>
      </c>
    </row>
    <row r="39" spans="2:11" x14ac:dyDescent="0.25">
      <c r="C39" s="4" t="s">
        <v>24</v>
      </c>
      <c r="D39" s="5"/>
      <c r="E39" s="5"/>
      <c r="F39" s="6"/>
      <c r="H39" s="4" t="s">
        <v>33</v>
      </c>
      <c r="I39" s="5"/>
      <c r="J39" s="5"/>
      <c r="K39" s="6"/>
    </row>
    <row r="40" spans="2:11" x14ac:dyDescent="0.25">
      <c r="C40" s="7"/>
      <c r="D40" s="8"/>
      <c r="E40" s="8"/>
      <c r="F40" s="9"/>
      <c r="H40" s="7"/>
      <c r="I40" s="8"/>
      <c r="J40" s="8"/>
      <c r="K40" s="9"/>
    </row>
    <row r="41" spans="2:11" x14ac:dyDescent="0.25">
      <c r="C41" s="7" t="s">
        <v>25</v>
      </c>
      <c r="D41" s="14">
        <v>500</v>
      </c>
      <c r="E41" s="8" t="s">
        <v>30</v>
      </c>
      <c r="F41" s="9">
        <v>200</v>
      </c>
      <c r="H41" s="7" t="s">
        <v>25</v>
      </c>
      <c r="I41" s="14">
        <v>300</v>
      </c>
      <c r="J41" s="8" t="s">
        <v>30</v>
      </c>
      <c r="K41" s="9">
        <v>100</v>
      </c>
    </row>
    <row r="42" spans="2:11" x14ac:dyDescent="0.25">
      <c r="C42" s="7" t="s">
        <v>29</v>
      </c>
      <c r="D42" s="8">
        <v>300</v>
      </c>
      <c r="E42" s="8" t="s">
        <v>31</v>
      </c>
      <c r="F42" s="9">
        <v>800</v>
      </c>
      <c r="H42" s="7" t="s">
        <v>29</v>
      </c>
      <c r="I42" s="8">
        <v>400</v>
      </c>
      <c r="J42" s="8" t="s">
        <v>31</v>
      </c>
      <c r="K42" s="9">
        <v>200</v>
      </c>
    </row>
    <row r="43" spans="2:11" x14ac:dyDescent="0.25">
      <c r="C43" s="7" t="s">
        <v>26</v>
      </c>
      <c r="D43" s="8">
        <v>1000</v>
      </c>
      <c r="E43" s="8"/>
      <c r="F43" s="9"/>
      <c r="H43" s="7" t="s">
        <v>26</v>
      </c>
      <c r="I43" s="8">
        <v>800</v>
      </c>
      <c r="J43" s="8"/>
      <c r="K43" s="9"/>
    </row>
    <row r="44" spans="2:11" x14ac:dyDescent="0.25">
      <c r="C44" s="7" t="s">
        <v>27</v>
      </c>
      <c r="D44" s="8">
        <v>500</v>
      </c>
      <c r="E44" s="8"/>
      <c r="F44" s="9"/>
      <c r="H44" s="7" t="s">
        <v>27</v>
      </c>
      <c r="I44" s="8">
        <v>400</v>
      </c>
      <c r="J44" s="8"/>
      <c r="K44" s="9"/>
    </row>
    <row r="45" spans="2:11" x14ac:dyDescent="0.25">
      <c r="C45" s="7" t="s">
        <v>28</v>
      </c>
      <c r="D45" s="8">
        <v>1500</v>
      </c>
      <c r="E45" s="8"/>
      <c r="F45" s="9"/>
      <c r="H45" s="7" t="s">
        <v>28</v>
      </c>
      <c r="I45" s="8">
        <v>1400</v>
      </c>
      <c r="J45" s="8"/>
      <c r="K45" s="9"/>
    </row>
    <row r="46" spans="2:11" x14ac:dyDescent="0.25">
      <c r="C46" s="7"/>
      <c r="D46" s="8">
        <f>SUM(D41:D45)</f>
        <v>3800</v>
      </c>
      <c r="E46" s="8"/>
      <c r="F46" s="9">
        <f>SUM(F41:F45)</f>
        <v>1000</v>
      </c>
      <c r="H46" s="7"/>
      <c r="I46" s="8">
        <f>SUM(I41:I45)</f>
        <v>3300</v>
      </c>
      <c r="J46" s="8"/>
      <c r="K46" s="9">
        <f>SUM(K41:K45)</f>
        <v>300</v>
      </c>
    </row>
    <row r="47" spans="2:11" x14ac:dyDescent="0.25">
      <c r="C47" s="7"/>
      <c r="D47" s="8"/>
      <c r="E47" s="8"/>
      <c r="F47" s="9"/>
      <c r="H47" s="7"/>
      <c r="I47" s="8"/>
      <c r="J47" s="8"/>
      <c r="K47" s="9"/>
    </row>
    <row r="48" spans="2:11" x14ac:dyDescent="0.25">
      <c r="C48" s="10"/>
      <c r="D48" s="11"/>
      <c r="E48" s="11" t="s">
        <v>32</v>
      </c>
      <c r="F48" s="13">
        <f>+D46-F46</f>
        <v>2800</v>
      </c>
      <c r="H48" s="10"/>
      <c r="I48" s="11"/>
      <c r="J48" s="11" t="s">
        <v>32</v>
      </c>
      <c r="K48" s="13">
        <f>+I46-K46</f>
        <v>3000</v>
      </c>
    </row>
    <row r="50" spans="5:8" x14ac:dyDescent="0.25">
      <c r="F50">
        <v>2021</v>
      </c>
    </row>
    <row r="52" spans="5:8" x14ac:dyDescent="0.25">
      <c r="E52" t="s">
        <v>34</v>
      </c>
      <c r="F52">
        <v>2800</v>
      </c>
    </row>
    <row r="53" spans="5:8" x14ac:dyDescent="0.25">
      <c r="E53" t="s">
        <v>35</v>
      </c>
      <c r="F53">
        <v>3000</v>
      </c>
    </row>
    <row r="54" spans="5:8" x14ac:dyDescent="0.25">
      <c r="E54" t="s">
        <v>36</v>
      </c>
      <c r="F54">
        <v>200</v>
      </c>
      <c r="H54" t="s">
        <v>37</v>
      </c>
    </row>
    <row r="58" spans="5:8" x14ac:dyDescent="0.25">
      <c r="E58" s="16" t="s">
        <v>40</v>
      </c>
      <c r="F58" s="6"/>
    </row>
    <row r="59" spans="5:8" x14ac:dyDescent="0.25">
      <c r="E59" s="7" t="s">
        <v>38</v>
      </c>
      <c r="F59" s="9">
        <v>5000</v>
      </c>
    </row>
    <row r="60" spans="5:8" x14ac:dyDescent="0.25">
      <c r="E60" s="7" t="s">
        <v>39</v>
      </c>
      <c r="F60" s="9">
        <v>4800</v>
      </c>
    </row>
    <row r="61" spans="5:8" x14ac:dyDescent="0.25">
      <c r="E61" s="10" t="s">
        <v>7</v>
      </c>
      <c r="F61" s="12">
        <v>200</v>
      </c>
    </row>
    <row r="64" spans="5:8" x14ac:dyDescent="0.25">
      <c r="E64" s="15" t="s">
        <v>2</v>
      </c>
    </row>
    <row r="65" spans="3:11" x14ac:dyDescent="0.25">
      <c r="E65" t="s">
        <v>41</v>
      </c>
      <c r="F65">
        <v>500</v>
      </c>
    </row>
    <row r="66" spans="3:11" x14ac:dyDescent="0.25">
      <c r="E66" t="s">
        <v>42</v>
      </c>
      <c r="F66">
        <v>300</v>
      </c>
    </row>
    <row r="67" spans="3:11" x14ac:dyDescent="0.25">
      <c r="F67">
        <f>+F66-F65</f>
        <v>-200</v>
      </c>
    </row>
    <row r="68" spans="3:11" x14ac:dyDescent="0.25">
      <c r="E68" s="4" t="s">
        <v>43</v>
      </c>
      <c r="F68" s="5"/>
      <c r="G68" s="5"/>
      <c r="H68" s="6">
        <v>5500</v>
      </c>
    </row>
    <row r="69" spans="3:11" x14ac:dyDescent="0.25">
      <c r="E69" s="7" t="s">
        <v>44</v>
      </c>
      <c r="F69" s="8"/>
      <c r="G69" s="8"/>
      <c r="H69" s="9">
        <v>5100</v>
      </c>
    </row>
    <row r="70" spans="3:11" x14ac:dyDescent="0.25">
      <c r="E70" s="7"/>
      <c r="F70" s="8"/>
      <c r="G70" s="8"/>
      <c r="H70" s="9">
        <f>+H68-H69</f>
        <v>400</v>
      </c>
    </row>
    <row r="71" spans="3:11" x14ac:dyDescent="0.25">
      <c r="E71" s="7" t="s">
        <v>45</v>
      </c>
      <c r="F71" s="8"/>
      <c r="G71" s="8"/>
      <c r="H71" s="9">
        <v>-600</v>
      </c>
    </row>
    <row r="72" spans="3:11" x14ac:dyDescent="0.25">
      <c r="E72" s="10"/>
      <c r="F72" s="11"/>
      <c r="G72" s="11"/>
      <c r="H72" s="12">
        <f>+H71+H70</f>
        <v>-200</v>
      </c>
    </row>
    <row r="76" spans="3:11" x14ac:dyDescent="0.25">
      <c r="C76" t="s">
        <v>46</v>
      </c>
    </row>
    <row r="78" spans="3:11" x14ac:dyDescent="0.25">
      <c r="C78" s="1" t="s">
        <v>47</v>
      </c>
      <c r="F78" t="s">
        <v>48</v>
      </c>
    </row>
    <row r="80" spans="3:11" x14ac:dyDescent="0.25">
      <c r="C80" s="1" t="s">
        <v>50</v>
      </c>
      <c r="F80" t="s">
        <v>49</v>
      </c>
      <c r="K80" t="s">
        <v>51</v>
      </c>
    </row>
    <row r="82" spans="11:11" x14ac:dyDescent="0.25">
      <c r="K82" t="s">
        <v>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BE71-908E-4753-BB22-E5519078E01D}">
  <dimension ref="B5:G31"/>
  <sheetViews>
    <sheetView topLeftCell="A4" workbookViewId="0">
      <selection activeCell="D9" sqref="D9"/>
    </sheetView>
  </sheetViews>
  <sheetFormatPr defaultRowHeight="15" x14ac:dyDescent="0.25"/>
  <sheetData>
    <row r="5" spans="2:4" x14ac:dyDescent="0.25">
      <c r="B5" s="1" t="s">
        <v>187</v>
      </c>
    </row>
    <row r="7" spans="2:4" x14ac:dyDescent="0.25">
      <c r="C7" t="s">
        <v>188</v>
      </c>
    </row>
    <row r="9" spans="2:4" x14ac:dyDescent="0.25">
      <c r="C9" s="1" t="s">
        <v>202</v>
      </c>
    </row>
    <row r="13" spans="2:4" x14ac:dyDescent="0.25">
      <c r="D13" t="s">
        <v>189</v>
      </c>
    </row>
    <row r="14" spans="2:4" x14ac:dyDescent="0.25">
      <c r="D14" t="s">
        <v>190</v>
      </c>
    </row>
    <row r="15" spans="2:4" x14ac:dyDescent="0.25">
      <c r="D15" t="s">
        <v>191</v>
      </c>
    </row>
    <row r="16" spans="2:4" s="24" customFormat="1" x14ac:dyDescent="0.25">
      <c r="C16" s="24">
        <v>5</v>
      </c>
      <c r="D16" s="34" t="s">
        <v>192</v>
      </c>
    </row>
    <row r="17" spans="2:7" x14ac:dyDescent="0.25">
      <c r="D17" t="s">
        <v>193</v>
      </c>
      <c r="G17" t="s">
        <v>194</v>
      </c>
    </row>
    <row r="18" spans="2:7" s="3" customFormat="1" x14ac:dyDescent="0.25">
      <c r="C18" s="3">
        <v>8</v>
      </c>
      <c r="D18" s="35" t="s">
        <v>195</v>
      </c>
    </row>
    <row r="19" spans="2:7" x14ac:dyDescent="0.25">
      <c r="D19" t="s">
        <v>196</v>
      </c>
    </row>
    <row r="20" spans="2:7" x14ac:dyDescent="0.25">
      <c r="C20">
        <v>11</v>
      </c>
      <c r="D20" t="s">
        <v>197</v>
      </c>
    </row>
    <row r="21" spans="2:7" x14ac:dyDescent="0.25">
      <c r="D21" t="s">
        <v>198</v>
      </c>
    </row>
    <row r="22" spans="2:7" x14ac:dyDescent="0.25">
      <c r="C22">
        <v>15</v>
      </c>
      <c r="D22" t="s">
        <v>199</v>
      </c>
    </row>
    <row r="29" spans="2:7" x14ac:dyDescent="0.25">
      <c r="B29" s="1" t="s">
        <v>200</v>
      </c>
    </row>
    <row r="31" spans="2:7" x14ac:dyDescent="0.25">
      <c r="B31" s="36" t="s">
        <v>201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3316-9153-4C6C-A5D7-705A3367B4C4}">
  <dimension ref="A4:F32"/>
  <sheetViews>
    <sheetView topLeftCell="A7" workbookViewId="0">
      <selection activeCell="C12" sqref="C12"/>
    </sheetView>
  </sheetViews>
  <sheetFormatPr defaultRowHeight="15" x14ac:dyDescent="0.25"/>
  <cols>
    <col min="2" max="2" width="11.140625" customWidth="1"/>
  </cols>
  <sheetData>
    <row r="4" spans="2:6" x14ac:dyDescent="0.25">
      <c r="B4" s="1" t="s">
        <v>21</v>
      </c>
      <c r="E4" s="1" t="s">
        <v>203</v>
      </c>
    </row>
    <row r="8" spans="2:6" x14ac:dyDescent="0.25">
      <c r="B8" t="s">
        <v>204</v>
      </c>
      <c r="C8">
        <v>90</v>
      </c>
      <c r="E8">
        <v>90</v>
      </c>
    </row>
    <row r="10" spans="2:6" x14ac:dyDescent="0.25">
      <c r="B10" t="s">
        <v>205</v>
      </c>
      <c r="C10">
        <v>10</v>
      </c>
      <c r="F10">
        <v>3</v>
      </c>
    </row>
    <row r="11" spans="2:6" x14ac:dyDescent="0.25">
      <c r="B11" t="s">
        <v>206</v>
      </c>
      <c r="C11">
        <v>30</v>
      </c>
      <c r="E11">
        <v>30</v>
      </c>
    </row>
    <row r="12" spans="2:6" x14ac:dyDescent="0.25">
      <c r="B12" t="s">
        <v>208</v>
      </c>
      <c r="C12">
        <v>10</v>
      </c>
      <c r="E12">
        <v>10</v>
      </c>
    </row>
    <row r="13" spans="2:6" x14ac:dyDescent="0.25">
      <c r="C13" s="1">
        <f>SUM(C10:C12)</f>
        <v>50</v>
      </c>
      <c r="E13" s="1">
        <f>SUM(E10:E12)</f>
        <v>40</v>
      </c>
    </row>
    <row r="15" spans="2:6" x14ac:dyDescent="0.25">
      <c r="B15" t="s">
        <v>207</v>
      </c>
      <c r="C15">
        <f>+C8-C13</f>
        <v>40</v>
      </c>
    </row>
    <row r="19" spans="1:4" x14ac:dyDescent="0.25">
      <c r="A19">
        <v>1</v>
      </c>
      <c r="B19" t="s">
        <v>209</v>
      </c>
    </row>
    <row r="21" spans="1:4" x14ac:dyDescent="0.25">
      <c r="B21" t="s">
        <v>205</v>
      </c>
      <c r="C21">
        <v>10</v>
      </c>
    </row>
    <row r="22" spans="1:4" x14ac:dyDescent="0.25">
      <c r="B22" t="s">
        <v>206</v>
      </c>
      <c r="C22">
        <v>20</v>
      </c>
      <c r="D22" s="35">
        <f>+C22+C21</f>
        <v>30</v>
      </c>
    </row>
    <row r="24" spans="1:4" x14ac:dyDescent="0.25">
      <c r="B24" t="s">
        <v>210</v>
      </c>
      <c r="D24">
        <v>8</v>
      </c>
    </row>
    <row r="28" spans="1:4" x14ac:dyDescent="0.25">
      <c r="B28" t="s">
        <v>148</v>
      </c>
      <c r="C28">
        <v>100</v>
      </c>
    </row>
    <row r="29" spans="1:4" x14ac:dyDescent="0.25">
      <c r="B29" t="s">
        <v>211</v>
      </c>
    </row>
    <row r="30" spans="1:4" x14ac:dyDescent="0.25">
      <c r="B30" t="s">
        <v>212</v>
      </c>
      <c r="C30">
        <v>10</v>
      </c>
    </row>
    <row r="31" spans="1:4" x14ac:dyDescent="0.25">
      <c r="B31" t="s">
        <v>213</v>
      </c>
      <c r="C31">
        <v>10</v>
      </c>
    </row>
    <row r="32" spans="1:4" x14ac:dyDescent="0.25">
      <c r="C32" s="35">
        <f>+C28-C30-C31</f>
        <v>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988C-CED9-41FD-B822-5F374D2EDF9D}">
  <dimension ref="A4:F69"/>
  <sheetViews>
    <sheetView topLeftCell="A42" zoomScale="140" zoomScaleNormal="140" workbookViewId="0">
      <selection activeCell="A42" sqref="A1:XFD1048576"/>
    </sheetView>
  </sheetViews>
  <sheetFormatPr defaultRowHeight="15" x14ac:dyDescent="0.25"/>
  <cols>
    <col min="1" max="1" width="22.140625" customWidth="1"/>
  </cols>
  <sheetData>
    <row r="4" spans="2:3" x14ac:dyDescent="0.25">
      <c r="B4" s="1" t="s">
        <v>214</v>
      </c>
    </row>
    <row r="8" spans="2:3" x14ac:dyDescent="0.25">
      <c r="B8" s="2" t="s">
        <v>215</v>
      </c>
    </row>
    <row r="10" spans="2:3" x14ac:dyDescent="0.25">
      <c r="B10" t="s">
        <v>216</v>
      </c>
    </row>
    <row r="13" spans="2:3" x14ac:dyDescent="0.25">
      <c r="B13" t="s">
        <v>217</v>
      </c>
    </row>
    <row r="14" spans="2:3" x14ac:dyDescent="0.25">
      <c r="C14" t="s">
        <v>218</v>
      </c>
    </row>
    <row r="15" spans="2:3" x14ac:dyDescent="0.25">
      <c r="C15" t="s">
        <v>219</v>
      </c>
    </row>
    <row r="16" spans="2:3" x14ac:dyDescent="0.25">
      <c r="C16" t="s">
        <v>220</v>
      </c>
    </row>
    <row r="18" spans="2:6" x14ac:dyDescent="0.25">
      <c r="C18" t="s">
        <v>221</v>
      </c>
    </row>
    <row r="21" spans="2:6" x14ac:dyDescent="0.25">
      <c r="B21" t="s">
        <v>222</v>
      </c>
    </row>
    <row r="23" spans="2:6" x14ac:dyDescent="0.25">
      <c r="C23" t="s">
        <v>223</v>
      </c>
      <c r="E23" t="s">
        <v>224</v>
      </c>
    </row>
    <row r="24" spans="2:6" x14ac:dyDescent="0.25">
      <c r="F24">
        <f>20/60</f>
        <v>0.33333333333333331</v>
      </c>
    </row>
    <row r="26" spans="2:6" x14ac:dyDescent="0.25">
      <c r="C26" t="s">
        <v>225</v>
      </c>
    </row>
    <row r="28" spans="2:6" x14ac:dyDescent="0.25">
      <c r="C28" t="s">
        <v>226</v>
      </c>
    </row>
    <row r="30" spans="2:6" x14ac:dyDescent="0.25">
      <c r="C30" t="s">
        <v>227</v>
      </c>
    </row>
    <row r="33" spans="1:5" x14ac:dyDescent="0.25">
      <c r="B33" t="s">
        <v>228</v>
      </c>
    </row>
    <row r="34" spans="1:5" x14ac:dyDescent="0.25">
      <c r="C34" t="s">
        <v>229</v>
      </c>
    </row>
    <row r="35" spans="1:5" x14ac:dyDescent="0.25">
      <c r="C35" t="s">
        <v>230</v>
      </c>
    </row>
    <row r="39" spans="1:5" x14ac:dyDescent="0.25">
      <c r="B39" t="s">
        <v>231</v>
      </c>
    </row>
    <row r="41" spans="1:5" x14ac:dyDescent="0.25">
      <c r="D41" t="s">
        <v>232</v>
      </c>
    </row>
    <row r="42" spans="1:5" x14ac:dyDescent="0.25">
      <c r="D42" t="s">
        <v>233</v>
      </c>
    </row>
    <row r="43" spans="1:5" x14ac:dyDescent="0.25">
      <c r="D43" t="s">
        <v>234</v>
      </c>
    </row>
    <row r="45" spans="1:5" x14ac:dyDescent="0.25">
      <c r="B45">
        <v>1</v>
      </c>
      <c r="C45">
        <v>2</v>
      </c>
      <c r="D45">
        <v>3</v>
      </c>
      <c r="E45" s="22" t="s">
        <v>235</v>
      </c>
    </row>
    <row r="46" spans="1:5" x14ac:dyDescent="0.25">
      <c r="A46" t="s">
        <v>101</v>
      </c>
      <c r="B46">
        <v>500</v>
      </c>
      <c r="C46">
        <v>900</v>
      </c>
      <c r="D46">
        <v>600</v>
      </c>
      <c r="E46">
        <f>SUM(B46:D46)</f>
        <v>2000</v>
      </c>
    </row>
    <row r="47" spans="1:5" x14ac:dyDescent="0.25">
      <c r="A47" t="s">
        <v>236</v>
      </c>
      <c r="B47">
        <v>800</v>
      </c>
      <c r="C47">
        <v>1200</v>
      </c>
      <c r="D47">
        <v>1000</v>
      </c>
      <c r="E47">
        <f>SUM(B47:D47)</f>
        <v>3000</v>
      </c>
    </row>
    <row r="48" spans="1:5" x14ac:dyDescent="0.25">
      <c r="A48" t="s">
        <v>245</v>
      </c>
      <c r="B48" s="37">
        <f>+B46/E46</f>
        <v>0.25</v>
      </c>
      <c r="C48" s="37">
        <f>+(B46+C46)/E46</f>
        <v>0.7</v>
      </c>
    </row>
    <row r="49" spans="1:5" s="24" customFormat="1" x14ac:dyDescent="0.25">
      <c r="A49" s="24" t="s">
        <v>249</v>
      </c>
      <c r="B49" s="39">
        <f>+B46/E46</f>
        <v>0.25</v>
      </c>
      <c r="C49" s="39">
        <f>+C46/E46</f>
        <v>0.45</v>
      </c>
      <c r="D49" s="39">
        <f>+D46/E46</f>
        <v>0.3</v>
      </c>
    </row>
    <row r="50" spans="1:5" x14ac:dyDescent="0.25">
      <c r="A50" s="1" t="s">
        <v>248</v>
      </c>
    </row>
    <row r="51" spans="1:5" x14ac:dyDescent="0.25">
      <c r="A51" t="s">
        <v>238</v>
      </c>
      <c r="B51">
        <v>0</v>
      </c>
      <c r="C51">
        <v>0</v>
      </c>
      <c r="D51">
        <v>3000</v>
      </c>
      <c r="E51">
        <f>SUM(B51:D51)</f>
        <v>3000</v>
      </c>
    </row>
    <row r="52" spans="1:5" x14ac:dyDescent="0.25">
      <c r="A52" t="s">
        <v>239</v>
      </c>
      <c r="B52">
        <f>750-0</f>
        <v>750</v>
      </c>
      <c r="C52">
        <f>2100-750</f>
        <v>1350</v>
      </c>
      <c r="D52">
        <v>-2100</v>
      </c>
      <c r="E52">
        <f>SUM(B52:D52)</f>
        <v>0</v>
      </c>
    </row>
    <row r="53" spans="1:5" ht="15.75" thickBot="1" x14ac:dyDescent="0.3">
      <c r="A53" t="s">
        <v>246</v>
      </c>
      <c r="B53" s="38">
        <f>SUM(B51:B52)</f>
        <v>750</v>
      </c>
      <c r="C53" s="38">
        <f t="shared" ref="C53:D53" si="0">SUM(C51:C52)</f>
        <v>1350</v>
      </c>
      <c r="D53" s="38">
        <f t="shared" si="0"/>
        <v>900</v>
      </c>
    </row>
    <row r="54" spans="1:5" ht="15.75" thickTop="1" x14ac:dyDescent="0.25">
      <c r="A54" s="1" t="s">
        <v>247</v>
      </c>
    </row>
    <row r="55" spans="1:5" x14ac:dyDescent="0.25">
      <c r="A55" t="s">
        <v>101</v>
      </c>
      <c r="B55">
        <v>500</v>
      </c>
      <c r="C55">
        <v>900</v>
      </c>
      <c r="D55">
        <v>600</v>
      </c>
      <c r="E55">
        <f>SUM(B55:D55)</f>
        <v>2000</v>
      </c>
    </row>
    <row r="57" spans="1:5" x14ac:dyDescent="0.25">
      <c r="A57" s="1" t="s">
        <v>240</v>
      </c>
      <c r="B57">
        <f>+B51+B52-B55</f>
        <v>250</v>
      </c>
      <c r="C57">
        <f>+C51+C52-C55</f>
        <v>450</v>
      </c>
      <c r="D57">
        <f>+D51+D52-D55</f>
        <v>300</v>
      </c>
      <c r="E57">
        <f>SUM(B57:D57)</f>
        <v>1000</v>
      </c>
    </row>
    <row r="61" spans="1:5" x14ac:dyDescent="0.25">
      <c r="A61" s="1" t="s">
        <v>0</v>
      </c>
    </row>
    <row r="63" spans="1:5" x14ac:dyDescent="0.25">
      <c r="A63" t="s">
        <v>241</v>
      </c>
    </row>
    <row r="65" spans="1:4" x14ac:dyDescent="0.25">
      <c r="A65" t="s">
        <v>242</v>
      </c>
      <c r="B65">
        <f>25%*3000</f>
        <v>750</v>
      </c>
      <c r="C65">
        <f>70%*3000</f>
        <v>2100</v>
      </c>
      <c r="D65">
        <v>0</v>
      </c>
    </row>
    <row r="68" spans="1:4" x14ac:dyDescent="0.25">
      <c r="A68" t="s">
        <v>243</v>
      </c>
    </row>
    <row r="69" spans="1:4" x14ac:dyDescent="0.25">
      <c r="A69" t="s">
        <v>244</v>
      </c>
      <c r="B69">
        <v>800</v>
      </c>
      <c r="C69">
        <f>+B69+1200</f>
        <v>2000</v>
      </c>
      <c r="D69">
        <v>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48D2-FBA3-49D8-BAF4-A59A0350937B}">
  <dimension ref="A4:F71"/>
  <sheetViews>
    <sheetView topLeftCell="A40" zoomScale="150" zoomScaleNormal="150" workbookViewId="0">
      <selection activeCell="D53" sqref="D53"/>
    </sheetView>
  </sheetViews>
  <sheetFormatPr defaultRowHeight="15" x14ac:dyDescent="0.25"/>
  <cols>
    <col min="1" max="1" width="22.140625" customWidth="1"/>
    <col min="3" max="3" width="10.7109375" customWidth="1"/>
  </cols>
  <sheetData>
    <row r="4" spans="2:3" x14ac:dyDescent="0.25">
      <c r="B4" s="1" t="s">
        <v>214</v>
      </c>
    </row>
    <row r="8" spans="2:3" x14ac:dyDescent="0.25">
      <c r="B8" s="2" t="s">
        <v>215</v>
      </c>
    </row>
    <row r="10" spans="2:3" x14ac:dyDescent="0.25">
      <c r="B10" t="s">
        <v>216</v>
      </c>
    </row>
    <row r="13" spans="2:3" x14ac:dyDescent="0.25">
      <c r="B13" t="s">
        <v>217</v>
      </c>
    </row>
    <row r="14" spans="2:3" x14ac:dyDescent="0.25">
      <c r="C14" t="s">
        <v>218</v>
      </c>
    </row>
    <row r="15" spans="2:3" x14ac:dyDescent="0.25">
      <c r="C15" t="s">
        <v>219</v>
      </c>
    </row>
    <row r="16" spans="2:3" x14ac:dyDescent="0.25">
      <c r="C16" t="s">
        <v>220</v>
      </c>
    </row>
    <row r="18" spans="2:6" x14ac:dyDescent="0.25">
      <c r="C18" t="s">
        <v>221</v>
      </c>
    </row>
    <row r="21" spans="2:6" x14ac:dyDescent="0.25">
      <c r="B21" t="s">
        <v>222</v>
      </c>
    </row>
    <row r="23" spans="2:6" x14ac:dyDescent="0.25">
      <c r="C23" t="s">
        <v>223</v>
      </c>
      <c r="E23" t="s">
        <v>224</v>
      </c>
    </row>
    <row r="24" spans="2:6" x14ac:dyDescent="0.25">
      <c r="F24">
        <f>20/60</f>
        <v>0.33333333333333331</v>
      </c>
    </row>
    <row r="26" spans="2:6" x14ac:dyDescent="0.25">
      <c r="C26" t="s">
        <v>225</v>
      </c>
    </row>
    <row r="28" spans="2:6" x14ac:dyDescent="0.25">
      <c r="C28" t="s">
        <v>226</v>
      </c>
    </row>
    <row r="30" spans="2:6" x14ac:dyDescent="0.25">
      <c r="C30" t="s">
        <v>227</v>
      </c>
    </row>
    <row r="33" spans="1:5" x14ac:dyDescent="0.25">
      <c r="B33" t="s">
        <v>228</v>
      </c>
    </row>
    <row r="34" spans="1:5" x14ac:dyDescent="0.25">
      <c r="C34" t="s">
        <v>229</v>
      </c>
    </row>
    <row r="35" spans="1:5" x14ac:dyDescent="0.25">
      <c r="C35" t="s">
        <v>230</v>
      </c>
    </row>
    <row r="39" spans="1:5" x14ac:dyDescent="0.25">
      <c r="B39" t="s">
        <v>231</v>
      </c>
    </row>
    <row r="41" spans="1:5" x14ac:dyDescent="0.25">
      <c r="D41" t="s">
        <v>232</v>
      </c>
    </row>
    <row r="42" spans="1:5" x14ac:dyDescent="0.25">
      <c r="D42" t="s">
        <v>233</v>
      </c>
    </row>
    <row r="43" spans="1:5" x14ac:dyDescent="0.25">
      <c r="D43" t="s">
        <v>234</v>
      </c>
    </row>
    <row r="45" spans="1:5" x14ac:dyDescent="0.25">
      <c r="B45">
        <v>1</v>
      </c>
      <c r="C45">
        <v>2</v>
      </c>
      <c r="D45">
        <v>3</v>
      </c>
      <c r="E45" s="22" t="s">
        <v>235</v>
      </c>
    </row>
    <row r="46" spans="1:5" x14ac:dyDescent="0.25">
      <c r="A46" t="s">
        <v>101</v>
      </c>
      <c r="B46">
        <v>500</v>
      </c>
      <c r="C46" s="3">
        <v>1000</v>
      </c>
      <c r="D46" s="3">
        <v>1600</v>
      </c>
      <c r="E46" s="3">
        <f>SUM(B46:D46)</f>
        <v>3100</v>
      </c>
    </row>
    <row r="47" spans="1:5" x14ac:dyDescent="0.25">
      <c r="A47" t="s">
        <v>236</v>
      </c>
      <c r="B47">
        <v>800</v>
      </c>
      <c r="C47">
        <v>1200</v>
      </c>
      <c r="D47">
        <v>1000</v>
      </c>
      <c r="E47">
        <v>3100</v>
      </c>
    </row>
    <row r="48" spans="1:5" x14ac:dyDescent="0.25">
      <c r="A48" t="s">
        <v>245</v>
      </c>
      <c r="B48" s="37">
        <v>0.25</v>
      </c>
      <c r="C48" s="37">
        <f>+(B46+C46)/E46</f>
        <v>0.4838709677419355</v>
      </c>
    </row>
    <row r="49" spans="1:5" s="24" customFormat="1" x14ac:dyDescent="0.25">
      <c r="A49" s="24" t="s">
        <v>249</v>
      </c>
      <c r="B49" s="39">
        <f>+B46/E46</f>
        <v>0.16129032258064516</v>
      </c>
      <c r="C49" s="39">
        <f>+C46/E46</f>
        <v>0.32258064516129031</v>
      </c>
      <c r="D49" s="39">
        <f>+D46/E46</f>
        <v>0.5161290322580645</v>
      </c>
    </row>
    <row r="50" spans="1:5" s="24" customFormat="1" x14ac:dyDescent="0.25">
      <c r="A50" t="s">
        <v>250</v>
      </c>
      <c r="B50" s="39"/>
      <c r="C50" s="40">
        <f>+C48*E47</f>
        <v>1500</v>
      </c>
      <c r="D50" s="39"/>
    </row>
    <row r="51" spans="1:5" s="43" customFormat="1" x14ac:dyDescent="0.25">
      <c r="A51" s="43" t="s">
        <v>141</v>
      </c>
      <c r="B51" s="44"/>
      <c r="C51" s="45">
        <f>+D53-D46</f>
        <v>1400</v>
      </c>
      <c r="D51" s="44"/>
    </row>
    <row r="52" spans="1:5" x14ac:dyDescent="0.25">
      <c r="A52" s="1" t="s">
        <v>248</v>
      </c>
    </row>
    <row r="53" spans="1:5" x14ac:dyDescent="0.25">
      <c r="A53" t="s">
        <v>238</v>
      </c>
      <c r="B53">
        <v>0</v>
      </c>
      <c r="C53">
        <v>0</v>
      </c>
      <c r="D53">
        <v>3000</v>
      </c>
      <c r="E53">
        <f>SUM(B53:D53)</f>
        <v>3000</v>
      </c>
    </row>
    <row r="54" spans="1:5" x14ac:dyDescent="0.25">
      <c r="A54" t="s">
        <v>239</v>
      </c>
      <c r="B54">
        <f>750-0</f>
        <v>750</v>
      </c>
      <c r="C54" s="40">
        <f>+C67-B67</f>
        <v>650</v>
      </c>
      <c r="D54" s="40">
        <f>-C67</f>
        <v>-1400</v>
      </c>
      <c r="E54">
        <f>SUM(B54:D54)</f>
        <v>0</v>
      </c>
    </row>
    <row r="55" spans="1:5" ht="15.75" thickBot="1" x14ac:dyDescent="0.3">
      <c r="A55" t="s">
        <v>246</v>
      </c>
      <c r="B55" s="38">
        <f>SUM(B53:B54)</f>
        <v>750</v>
      </c>
      <c r="C55" s="41">
        <f t="shared" ref="C55:D55" si="0">SUM(C53:C54)</f>
        <v>650</v>
      </c>
      <c r="D55" s="41">
        <f t="shared" si="0"/>
        <v>1600</v>
      </c>
    </row>
    <row r="56" spans="1:5" ht="15.75" thickTop="1" x14ac:dyDescent="0.25">
      <c r="A56" s="1" t="s">
        <v>247</v>
      </c>
      <c r="C56" s="40"/>
    </row>
    <row r="57" spans="1:5" x14ac:dyDescent="0.25">
      <c r="A57" t="s">
        <v>101</v>
      </c>
      <c r="B57">
        <v>500</v>
      </c>
      <c r="C57" s="40">
        <f>+C46</f>
        <v>1000</v>
      </c>
      <c r="D57">
        <f>+D46</f>
        <v>1600</v>
      </c>
      <c r="E57">
        <f>SUM(B57:D57)</f>
        <v>3100</v>
      </c>
    </row>
    <row r="58" spans="1:5" x14ac:dyDescent="0.25">
      <c r="C58" s="40"/>
    </row>
    <row r="59" spans="1:5" x14ac:dyDescent="0.25">
      <c r="A59" s="1" t="s">
        <v>240</v>
      </c>
      <c r="B59">
        <f>+B53+B54-B57</f>
        <v>250</v>
      </c>
      <c r="C59" s="40">
        <f>+C53+C54-C57</f>
        <v>-350</v>
      </c>
      <c r="D59" s="42">
        <f>+D53+D54-D57</f>
        <v>0</v>
      </c>
      <c r="E59">
        <f>SUM(B59:D59)</f>
        <v>-100</v>
      </c>
    </row>
    <row r="63" spans="1:5" x14ac:dyDescent="0.25">
      <c r="A63" s="1" t="s">
        <v>0</v>
      </c>
    </row>
    <row r="65" spans="1:4" x14ac:dyDescent="0.25">
      <c r="A65" t="s">
        <v>241</v>
      </c>
    </row>
    <row r="67" spans="1:4" x14ac:dyDescent="0.25">
      <c r="A67" t="s">
        <v>242</v>
      </c>
      <c r="B67">
        <f>25%*3000</f>
        <v>750</v>
      </c>
      <c r="C67" s="46">
        <v>1400</v>
      </c>
      <c r="D67">
        <v>0</v>
      </c>
    </row>
    <row r="70" spans="1:4" x14ac:dyDescent="0.25">
      <c r="A70" t="s">
        <v>243</v>
      </c>
    </row>
    <row r="71" spans="1:4" x14ac:dyDescent="0.25">
      <c r="A71" t="s">
        <v>244</v>
      </c>
      <c r="B71">
        <v>800</v>
      </c>
      <c r="C71">
        <f>+B71+1200</f>
        <v>2000</v>
      </c>
      <c r="D7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F9F8-0ED3-4FD2-889D-3FAD7DD1409B}">
  <dimension ref="A2:E25"/>
  <sheetViews>
    <sheetView topLeftCell="A19" zoomScale="130" zoomScaleNormal="130" workbookViewId="0">
      <selection activeCell="C16" sqref="C16"/>
    </sheetView>
  </sheetViews>
  <sheetFormatPr defaultRowHeight="15" x14ac:dyDescent="0.25"/>
  <cols>
    <col min="1" max="1" width="9.140625" style="25"/>
    <col min="2" max="2" width="9.28515625" style="25" bestFit="1" customWidth="1"/>
    <col min="3" max="3" width="15.28515625" style="25" bestFit="1" customWidth="1"/>
    <col min="4" max="4" width="13.7109375" style="25" bestFit="1" customWidth="1"/>
    <col min="5" max="5" width="15.140625" style="25" customWidth="1"/>
    <col min="6" max="16384" width="9.140625" style="25"/>
  </cols>
  <sheetData>
    <row r="2" spans="1:5" x14ac:dyDescent="0.25">
      <c r="D2" s="29" t="s">
        <v>253</v>
      </c>
    </row>
    <row r="3" spans="1:5" x14ac:dyDescent="0.25">
      <c r="B3" s="25" t="s">
        <v>251</v>
      </c>
      <c r="C3" s="25">
        <v>450000</v>
      </c>
      <c r="D3" s="49">
        <f>+C3*1.1</f>
        <v>495000.00000000006</v>
      </c>
    </row>
    <row r="5" spans="1:5" x14ac:dyDescent="0.25">
      <c r="B5" s="25" t="s">
        <v>101</v>
      </c>
    </row>
    <row r="6" spans="1:5" x14ac:dyDescent="0.25">
      <c r="B6" s="25">
        <v>1</v>
      </c>
      <c r="C6" s="25">
        <v>95000</v>
      </c>
      <c r="D6" s="25">
        <v>95000</v>
      </c>
    </row>
    <row r="7" spans="1:5" x14ac:dyDescent="0.25">
      <c r="B7" s="25">
        <v>2</v>
      </c>
      <c r="C7" s="25">
        <v>185000</v>
      </c>
      <c r="D7" s="49">
        <v>210000</v>
      </c>
    </row>
    <row r="8" spans="1:5" x14ac:dyDescent="0.25">
      <c r="B8" s="25">
        <v>3</v>
      </c>
      <c r="C8" s="25">
        <v>105000</v>
      </c>
      <c r="D8" s="49">
        <v>195000</v>
      </c>
    </row>
    <row r="9" spans="1:5" x14ac:dyDescent="0.25">
      <c r="C9" s="25">
        <f>SUM(C6:C8)</f>
        <v>385000</v>
      </c>
      <c r="D9" s="25">
        <f>SUM(D6:D8)</f>
        <v>500000</v>
      </c>
    </row>
    <row r="11" spans="1:5" x14ac:dyDescent="0.25">
      <c r="A11" s="25" t="s">
        <v>252</v>
      </c>
      <c r="C11" s="25">
        <f>+C3-C9</f>
        <v>65000</v>
      </c>
      <c r="D11" s="25">
        <f>+D3-D9</f>
        <v>-4999.9999999999418</v>
      </c>
    </row>
    <row r="14" spans="1:5" x14ac:dyDescent="0.25">
      <c r="C14" s="25">
        <v>1</v>
      </c>
      <c r="D14" s="25">
        <v>2</v>
      </c>
      <c r="E14" s="25">
        <v>3</v>
      </c>
    </row>
    <row r="16" spans="1:5" x14ac:dyDescent="0.25">
      <c r="A16" s="25" t="s">
        <v>238</v>
      </c>
      <c r="C16" s="25">
        <v>0</v>
      </c>
      <c r="D16" s="25">
        <v>0</v>
      </c>
      <c r="E16" s="25">
        <f>+D3</f>
        <v>495000.00000000006</v>
      </c>
    </row>
    <row r="17" spans="1:5" x14ac:dyDescent="0.25">
      <c r="A17" s="25" t="s">
        <v>254</v>
      </c>
      <c r="C17" s="25">
        <f>+C25*C3</f>
        <v>111038.96103896103</v>
      </c>
      <c r="D17" s="29">
        <f>+E16-E21</f>
        <v>300000.00000000006</v>
      </c>
      <c r="E17" s="25">
        <v>0</v>
      </c>
    </row>
    <row r="18" spans="1:5" x14ac:dyDescent="0.25">
      <c r="A18" s="47" t="s">
        <v>255</v>
      </c>
      <c r="C18" s="25">
        <v>0</v>
      </c>
      <c r="D18" s="25">
        <f>-C17</f>
        <v>-111038.96103896103</v>
      </c>
      <c r="E18" s="25">
        <f>-D17</f>
        <v>-300000.00000000006</v>
      </c>
    </row>
    <row r="19" spans="1:5" x14ac:dyDescent="0.25">
      <c r="A19" s="25" t="s">
        <v>237</v>
      </c>
      <c r="C19" s="25">
        <f>SUM(C16:C18)</f>
        <v>111038.96103896103</v>
      </c>
      <c r="D19" s="25">
        <f>SUM(D16:D18)</f>
        <v>188961.03896103904</v>
      </c>
      <c r="E19" s="25">
        <f>SUM(E16:E18)</f>
        <v>195000</v>
      </c>
    </row>
    <row r="21" spans="1:5" x14ac:dyDescent="0.25">
      <c r="A21" s="25" t="s">
        <v>256</v>
      </c>
      <c r="C21" s="25">
        <f>+C6</f>
        <v>95000</v>
      </c>
      <c r="D21" s="25">
        <f>+D7</f>
        <v>210000</v>
      </c>
      <c r="E21" s="25">
        <f>+D8</f>
        <v>195000</v>
      </c>
    </row>
    <row r="23" spans="1:5" x14ac:dyDescent="0.25">
      <c r="A23" s="25" t="s">
        <v>130</v>
      </c>
      <c r="C23" s="25">
        <f>+C19-C21</f>
        <v>16038.961038961032</v>
      </c>
      <c r="D23" s="25">
        <f>+D19-D21</f>
        <v>-21038.961038960959</v>
      </c>
      <c r="E23" s="25">
        <f>+E19-E21</f>
        <v>0</v>
      </c>
    </row>
    <row r="25" spans="1:5" x14ac:dyDescent="0.25">
      <c r="A25" s="25" t="s">
        <v>257</v>
      </c>
      <c r="C25" s="48">
        <f>+C6/C9</f>
        <v>0.24675324675324675</v>
      </c>
      <c r="D25" s="50">
        <f>+(D6+D7)/D9</f>
        <v>0.61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0A45-E1C7-4F70-AD3D-8941304767CC}">
  <dimension ref="A3:I23"/>
  <sheetViews>
    <sheetView topLeftCell="A10" zoomScale="130" zoomScaleNormal="130" workbookViewId="0">
      <selection activeCell="F7" sqref="F7"/>
    </sheetView>
  </sheetViews>
  <sheetFormatPr defaultRowHeight="15" x14ac:dyDescent="0.25"/>
  <cols>
    <col min="2" max="2" width="14.140625" customWidth="1"/>
  </cols>
  <sheetData>
    <row r="3" spans="1:9" x14ac:dyDescent="0.25">
      <c r="A3" t="s">
        <v>252</v>
      </c>
      <c r="B3">
        <v>300</v>
      </c>
    </row>
    <row r="5" spans="1:9" x14ac:dyDescent="0.25">
      <c r="B5" s="37">
        <f>200/700</f>
        <v>0.2857142857142857</v>
      </c>
      <c r="C5">
        <f>+B5*B3</f>
        <v>85.714285714285708</v>
      </c>
    </row>
    <row r="8" spans="1:9" x14ac:dyDescent="0.25">
      <c r="C8">
        <v>200</v>
      </c>
      <c r="D8">
        <v>200</v>
      </c>
      <c r="E8">
        <v>150</v>
      </c>
      <c r="F8">
        <v>150</v>
      </c>
      <c r="G8">
        <f>SUM(C8:F8)</f>
        <v>700</v>
      </c>
      <c r="I8">
        <v>1000</v>
      </c>
    </row>
    <row r="10" spans="1:9" x14ac:dyDescent="0.25">
      <c r="C10">
        <v>1</v>
      </c>
      <c r="D10">
        <v>2</v>
      </c>
      <c r="E10">
        <v>3</v>
      </c>
      <c r="F10">
        <v>4</v>
      </c>
    </row>
    <row r="12" spans="1:9" x14ac:dyDescent="0.25">
      <c r="A12" t="s">
        <v>238</v>
      </c>
      <c r="C12">
        <v>0</v>
      </c>
      <c r="D12">
        <v>0</v>
      </c>
      <c r="E12">
        <v>0</v>
      </c>
      <c r="F12">
        <f>+I17</f>
        <v>1100</v>
      </c>
    </row>
    <row r="13" spans="1:9" x14ac:dyDescent="0.25">
      <c r="A13" t="s">
        <v>254</v>
      </c>
      <c r="C13" s="40">
        <f>+I8*C21</f>
        <v>285.71428571428572</v>
      </c>
      <c r="D13" s="40">
        <f>+D21*I8</f>
        <v>571.42857142857144</v>
      </c>
      <c r="E13" s="40">
        <f>+E21*I17</f>
        <v>794.44444444444446</v>
      </c>
    </row>
    <row r="14" spans="1:9" x14ac:dyDescent="0.25">
      <c r="A14" s="18" t="s">
        <v>258</v>
      </c>
      <c r="C14" s="40"/>
      <c r="D14" s="40">
        <f>-C13</f>
        <v>-285.71428571428572</v>
      </c>
      <c r="E14" s="40">
        <f>-D13</f>
        <v>-571.42857142857144</v>
      </c>
      <c r="F14" s="40">
        <f>-E13</f>
        <v>-794.44444444444446</v>
      </c>
    </row>
    <row r="15" spans="1:9" x14ac:dyDescent="0.25">
      <c r="A15" t="s">
        <v>237</v>
      </c>
      <c r="C15" s="40">
        <f>SUM(C12:C14)</f>
        <v>285.71428571428572</v>
      </c>
      <c r="D15" s="40">
        <f>SUM(D12:D14)</f>
        <v>285.71428571428572</v>
      </c>
      <c r="E15" s="40">
        <f>SUM(E12:E14)</f>
        <v>223.01587301587301</v>
      </c>
      <c r="F15" s="40">
        <f>SUM(F12:F14)</f>
        <v>305.55555555555554</v>
      </c>
    </row>
    <row r="16" spans="1:9" x14ac:dyDescent="0.25">
      <c r="C16" s="40"/>
    </row>
    <row r="17" spans="1:9" x14ac:dyDescent="0.25">
      <c r="A17" t="s">
        <v>259</v>
      </c>
      <c r="C17" s="40">
        <v>200</v>
      </c>
      <c r="D17">
        <v>200</v>
      </c>
      <c r="E17">
        <v>250</v>
      </c>
      <c r="F17">
        <v>250</v>
      </c>
      <c r="G17">
        <f>SUM(C17:F17)</f>
        <v>900</v>
      </c>
      <c r="I17">
        <v>1100</v>
      </c>
    </row>
    <row r="18" spans="1:9" x14ac:dyDescent="0.25">
      <c r="C18" s="40"/>
    </row>
    <row r="19" spans="1:9" x14ac:dyDescent="0.25">
      <c r="A19" t="s">
        <v>130</v>
      </c>
      <c r="C19" s="40">
        <f>+C15-C17</f>
        <v>85.714285714285722</v>
      </c>
      <c r="D19" s="40">
        <f>+D15-D17</f>
        <v>85.714285714285722</v>
      </c>
      <c r="E19" s="40">
        <f>+E15-E17</f>
        <v>-26.984126984126988</v>
      </c>
      <c r="F19" s="40">
        <f>+F15-F17</f>
        <v>55.555555555555543</v>
      </c>
      <c r="G19" s="40">
        <f>SUM(C19:F19)</f>
        <v>200</v>
      </c>
    </row>
    <row r="21" spans="1:9" x14ac:dyDescent="0.25">
      <c r="A21" t="s">
        <v>260</v>
      </c>
      <c r="C21" s="51">
        <f>+C17/G8</f>
        <v>0.2857142857142857</v>
      </c>
      <c r="D21" s="51">
        <f>+(C17+D17)/G8</f>
        <v>0.5714285714285714</v>
      </c>
      <c r="E21" s="51">
        <f>+(C17+D17+E17)/G17</f>
        <v>0.72222222222222221</v>
      </c>
    </row>
    <row r="23" spans="1:9" x14ac:dyDescent="0.25">
      <c r="A23" t="s">
        <v>261</v>
      </c>
      <c r="F23" s="52">
        <f>+F17/G17</f>
        <v>0.27777777777777779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B91A-8FFB-41DC-8C3F-5D68A7418FB3}">
  <dimension ref="A2:P84"/>
  <sheetViews>
    <sheetView topLeftCell="A37" zoomScale="140" zoomScaleNormal="140" workbookViewId="0">
      <selection activeCell="C36" sqref="C36:G43"/>
    </sheetView>
  </sheetViews>
  <sheetFormatPr defaultRowHeight="15" x14ac:dyDescent="0.25"/>
  <sheetData>
    <row r="2" spans="1:7" x14ac:dyDescent="0.25">
      <c r="C2" s="17" t="s">
        <v>98</v>
      </c>
      <c r="D2" s="17" t="s">
        <v>99</v>
      </c>
      <c r="E2" s="17"/>
      <c r="F2" s="17" t="s">
        <v>98</v>
      </c>
      <c r="G2" s="17" t="s">
        <v>99</v>
      </c>
    </row>
    <row r="3" spans="1:7" x14ac:dyDescent="0.25">
      <c r="C3" t="s">
        <v>263</v>
      </c>
      <c r="F3" t="s">
        <v>264</v>
      </c>
    </row>
    <row r="4" spans="1:7" x14ac:dyDescent="0.25">
      <c r="C4" s="5">
        <v>100</v>
      </c>
      <c r="D4" s="4"/>
      <c r="F4" s="5"/>
      <c r="G4" s="4">
        <v>110</v>
      </c>
    </row>
    <row r="5" spans="1:7" x14ac:dyDescent="0.25">
      <c r="A5" t="s">
        <v>266</v>
      </c>
      <c r="D5" s="7"/>
      <c r="G5" s="7"/>
    </row>
    <row r="6" spans="1:7" x14ac:dyDescent="0.25">
      <c r="D6" s="7"/>
      <c r="G6" s="7"/>
    </row>
    <row r="7" spans="1:7" x14ac:dyDescent="0.25">
      <c r="D7" s="7"/>
      <c r="G7" s="7"/>
    </row>
    <row r="8" spans="1:7" x14ac:dyDescent="0.25">
      <c r="D8" s="7"/>
      <c r="G8" s="7"/>
    </row>
    <row r="9" spans="1:7" x14ac:dyDescent="0.25">
      <c r="D9" s="7"/>
      <c r="G9" s="7"/>
    </row>
    <row r="12" spans="1:7" x14ac:dyDescent="0.25">
      <c r="C12" s="17" t="s">
        <v>98</v>
      </c>
      <c r="D12" s="17" t="s">
        <v>99</v>
      </c>
      <c r="E12" s="17"/>
      <c r="F12" s="17"/>
      <c r="G12" s="17"/>
    </row>
    <row r="13" spans="1:7" x14ac:dyDescent="0.25">
      <c r="C13" t="s">
        <v>262</v>
      </c>
      <c r="F13" t="s">
        <v>265</v>
      </c>
    </row>
    <row r="14" spans="1:7" x14ac:dyDescent="0.25">
      <c r="C14" s="5">
        <v>100</v>
      </c>
      <c r="D14" s="4"/>
      <c r="F14" s="5"/>
      <c r="G14" s="4"/>
    </row>
    <row r="15" spans="1:7" x14ac:dyDescent="0.25">
      <c r="A15" t="s">
        <v>267</v>
      </c>
      <c r="D15" s="53">
        <v>100</v>
      </c>
      <c r="E15" s="3"/>
      <c r="F15" s="3"/>
      <c r="G15" s="53">
        <v>10</v>
      </c>
    </row>
    <row r="16" spans="1:7" x14ac:dyDescent="0.25">
      <c r="D16" s="7"/>
      <c r="G16" s="7"/>
    </row>
    <row r="17" spans="2:7" x14ac:dyDescent="0.25">
      <c r="D17" s="7"/>
      <c r="G17" s="7"/>
    </row>
    <row r="18" spans="2:7" x14ac:dyDescent="0.25">
      <c r="D18" s="7"/>
      <c r="G18" s="7"/>
    </row>
    <row r="19" spans="2:7" x14ac:dyDescent="0.25">
      <c r="D19" s="7"/>
      <c r="G19" s="7"/>
    </row>
    <row r="22" spans="2:7" x14ac:dyDescent="0.25">
      <c r="B22" s="1" t="s">
        <v>268</v>
      </c>
    </row>
    <row r="24" spans="2:7" x14ac:dyDescent="0.25">
      <c r="B24">
        <v>1</v>
      </c>
      <c r="C24" t="s">
        <v>146</v>
      </c>
      <c r="E24" t="s">
        <v>188</v>
      </c>
    </row>
    <row r="25" spans="2:7" x14ac:dyDescent="0.25">
      <c r="E25" s="18" t="s">
        <v>269</v>
      </c>
    </row>
    <row r="28" spans="2:7" x14ac:dyDescent="0.25">
      <c r="B28">
        <v>2</v>
      </c>
      <c r="C28" t="s">
        <v>270</v>
      </c>
      <c r="E28" t="s">
        <v>272</v>
      </c>
    </row>
    <row r="30" spans="2:7" x14ac:dyDescent="0.25">
      <c r="B30">
        <v>3</v>
      </c>
      <c r="C30" t="s">
        <v>271</v>
      </c>
      <c r="E30" t="s">
        <v>273</v>
      </c>
    </row>
    <row r="31" spans="2:7" x14ac:dyDescent="0.25">
      <c r="E31" t="s">
        <v>274</v>
      </c>
    </row>
    <row r="33" spans="2:15" x14ac:dyDescent="0.25">
      <c r="B33">
        <v>4</v>
      </c>
      <c r="C33" t="s">
        <v>275</v>
      </c>
    </row>
    <row r="36" spans="2:15" x14ac:dyDescent="0.25">
      <c r="B36" t="s">
        <v>279</v>
      </c>
      <c r="C36" t="s">
        <v>276</v>
      </c>
      <c r="F36" t="s">
        <v>277</v>
      </c>
      <c r="I36" t="s">
        <v>72</v>
      </c>
    </row>
    <row r="37" spans="2:15" x14ac:dyDescent="0.25">
      <c r="C37" s="6">
        <v>100</v>
      </c>
      <c r="D37" s="5"/>
      <c r="F37" s="6"/>
      <c r="G37" s="5">
        <v>100</v>
      </c>
      <c r="I37" s="6">
        <v>60</v>
      </c>
      <c r="J37" s="5"/>
    </row>
    <row r="38" spans="2:15" x14ac:dyDescent="0.25">
      <c r="C38" s="9"/>
      <c r="D38" s="8">
        <v>60</v>
      </c>
      <c r="F38" s="9"/>
      <c r="G38" s="8"/>
      <c r="I38" s="9"/>
      <c r="J38" s="8"/>
    </row>
    <row r="39" spans="2:15" x14ac:dyDescent="0.25">
      <c r="C39" s="9"/>
      <c r="D39" s="8"/>
      <c r="F39" s="9"/>
      <c r="G39" s="8"/>
      <c r="I39" s="9"/>
      <c r="J39" s="8"/>
    </row>
    <row r="40" spans="2:15" x14ac:dyDescent="0.25">
      <c r="C40" s="9"/>
      <c r="D40" s="8"/>
      <c r="F40" s="9"/>
      <c r="G40" s="8"/>
      <c r="I40" s="9"/>
      <c r="J40" s="8"/>
    </row>
    <row r="41" spans="2:15" x14ac:dyDescent="0.25">
      <c r="C41" s="9"/>
      <c r="D41" s="8"/>
      <c r="F41" s="9"/>
      <c r="G41" s="8"/>
      <c r="I41" s="9"/>
      <c r="J41" s="8"/>
    </row>
    <row r="42" spans="2:15" x14ac:dyDescent="0.25">
      <c r="C42" s="9"/>
      <c r="D42" s="8"/>
      <c r="F42" s="9"/>
      <c r="G42" s="8"/>
      <c r="I42" s="9"/>
      <c r="J42" s="8"/>
    </row>
    <row r="44" spans="2:15" x14ac:dyDescent="0.25">
      <c r="C44" t="s">
        <v>278</v>
      </c>
      <c r="F44">
        <v>4</v>
      </c>
    </row>
    <row r="48" spans="2:15" x14ac:dyDescent="0.25">
      <c r="B48" t="s">
        <v>281</v>
      </c>
      <c r="C48" t="s">
        <v>276</v>
      </c>
      <c r="F48" t="s">
        <v>277</v>
      </c>
      <c r="I48" t="s">
        <v>72</v>
      </c>
      <c r="L48" t="s">
        <v>283</v>
      </c>
      <c r="O48" t="s">
        <v>282</v>
      </c>
    </row>
    <row r="49" spans="1:16" x14ac:dyDescent="0.25">
      <c r="C49" s="6">
        <v>100</v>
      </c>
      <c r="D49" s="5"/>
      <c r="F49" s="6"/>
      <c r="G49" s="5">
        <v>100</v>
      </c>
      <c r="I49" s="6">
        <v>60</v>
      </c>
      <c r="J49" s="5"/>
      <c r="L49" s="6"/>
      <c r="M49" s="5">
        <v>60</v>
      </c>
      <c r="O49" s="6"/>
      <c r="P49" s="5"/>
    </row>
    <row r="50" spans="1:16" x14ac:dyDescent="0.25">
      <c r="C50" s="9"/>
      <c r="D50" s="8"/>
      <c r="F50" s="9"/>
      <c r="G50" s="8"/>
      <c r="I50" s="9"/>
      <c r="J50" s="8"/>
      <c r="L50" s="54">
        <v>54</v>
      </c>
      <c r="M50" s="8"/>
      <c r="O50" s="54"/>
      <c r="P50" s="14">
        <v>54</v>
      </c>
    </row>
    <row r="51" spans="1:16" x14ac:dyDescent="0.25">
      <c r="C51" s="9"/>
      <c r="D51" s="8"/>
      <c r="F51" s="9"/>
      <c r="G51" s="8"/>
      <c r="I51" s="9"/>
      <c r="J51" s="8"/>
      <c r="L51" s="9"/>
      <c r="M51" s="8"/>
      <c r="O51" s="9"/>
      <c r="P51" s="8"/>
    </row>
    <row r="52" spans="1:16" x14ac:dyDescent="0.25">
      <c r="C52" s="9"/>
      <c r="D52" s="8"/>
      <c r="F52" s="9"/>
      <c r="G52" s="8"/>
      <c r="I52" s="9"/>
      <c r="J52" s="8"/>
      <c r="L52" s="9"/>
      <c r="M52" s="8"/>
      <c r="O52" s="9"/>
      <c r="P52" s="8"/>
    </row>
    <row r="53" spans="1:16" x14ac:dyDescent="0.25">
      <c r="C53" s="9"/>
      <c r="D53" s="8"/>
      <c r="F53" s="9"/>
      <c r="G53" s="8"/>
      <c r="I53" s="9"/>
      <c r="J53" s="8"/>
      <c r="L53" s="9"/>
      <c r="M53" s="8"/>
      <c r="O53" s="9"/>
      <c r="P53" s="8"/>
    </row>
    <row r="54" spans="1:16" x14ac:dyDescent="0.25">
      <c r="C54" s="9"/>
      <c r="D54" s="8"/>
      <c r="F54" s="9"/>
      <c r="G54" s="8"/>
      <c r="I54" s="9"/>
      <c r="J54" s="8"/>
      <c r="L54" s="9"/>
      <c r="M54" s="8"/>
      <c r="O54" s="9"/>
      <c r="P54" s="8"/>
    </row>
    <row r="56" spans="1:16" x14ac:dyDescent="0.25">
      <c r="C56" t="s">
        <v>278</v>
      </c>
      <c r="F56">
        <v>10</v>
      </c>
      <c r="L56" t="s">
        <v>280</v>
      </c>
      <c r="N56">
        <v>6</v>
      </c>
    </row>
    <row r="60" spans="1:16" x14ac:dyDescent="0.25">
      <c r="B60">
        <v>5</v>
      </c>
      <c r="C60" t="s">
        <v>284</v>
      </c>
    </row>
    <row r="63" spans="1:16" x14ac:dyDescent="0.25">
      <c r="C63" t="s">
        <v>285</v>
      </c>
      <c r="F63" t="s">
        <v>117</v>
      </c>
    </row>
    <row r="64" spans="1:16" x14ac:dyDescent="0.25">
      <c r="A64">
        <v>100</v>
      </c>
      <c r="C64" s="6"/>
      <c r="D64" s="5"/>
      <c r="F64" s="6"/>
      <c r="G64" s="5"/>
    </row>
    <row r="65" spans="2:10" x14ac:dyDescent="0.25">
      <c r="C65" s="55" t="s">
        <v>294</v>
      </c>
      <c r="D65" s="8"/>
      <c r="F65" s="9" t="s">
        <v>286</v>
      </c>
      <c r="G65" s="8" t="s">
        <v>102</v>
      </c>
    </row>
    <row r="66" spans="2:10" x14ac:dyDescent="0.25">
      <c r="C66" s="9"/>
      <c r="D66" s="8"/>
      <c r="F66" s="9" t="s">
        <v>287</v>
      </c>
      <c r="G66" s="8" t="s">
        <v>289</v>
      </c>
    </row>
    <row r="67" spans="2:10" x14ac:dyDescent="0.25">
      <c r="C67" s="9" t="s">
        <v>291</v>
      </c>
      <c r="D67" s="8"/>
      <c r="E67">
        <v>100</v>
      </c>
      <c r="F67" s="9" t="s">
        <v>288</v>
      </c>
      <c r="G67" s="14" t="s">
        <v>290</v>
      </c>
      <c r="I67">
        <v>100</v>
      </c>
    </row>
    <row r="68" spans="2:10" x14ac:dyDescent="0.25">
      <c r="C68" s="9"/>
      <c r="D68" s="8"/>
      <c r="F68" s="9"/>
      <c r="G68" s="8"/>
    </row>
    <row r="69" spans="2:10" x14ac:dyDescent="0.25">
      <c r="C69" s="9"/>
      <c r="D69" s="8"/>
      <c r="F69" s="9"/>
      <c r="G69" s="8"/>
    </row>
    <row r="70" spans="2:10" x14ac:dyDescent="0.25">
      <c r="F70" s="56" t="s">
        <v>297</v>
      </c>
      <c r="G70">
        <v>0</v>
      </c>
    </row>
    <row r="72" spans="2:10" x14ac:dyDescent="0.25">
      <c r="B72" t="s">
        <v>115</v>
      </c>
    </row>
    <row r="73" spans="2:10" x14ac:dyDescent="0.25">
      <c r="B73" t="s">
        <v>102</v>
      </c>
    </row>
    <row r="74" spans="2:10" x14ac:dyDescent="0.25">
      <c r="B74" t="s">
        <v>292</v>
      </c>
    </row>
    <row r="75" spans="2:10" x14ac:dyDescent="0.25">
      <c r="B75" t="s">
        <v>293</v>
      </c>
    </row>
    <row r="79" spans="2:10" x14ac:dyDescent="0.25">
      <c r="F79" s="1" t="s">
        <v>187</v>
      </c>
      <c r="G79" s="1"/>
      <c r="H79" s="1"/>
      <c r="I79" s="1"/>
      <c r="J79" s="1">
        <v>100</v>
      </c>
    </row>
    <row r="80" spans="2:10" x14ac:dyDescent="0.25">
      <c r="B80" t="s">
        <v>295</v>
      </c>
    </row>
    <row r="81" spans="2:10" x14ac:dyDescent="0.25">
      <c r="F81" t="s">
        <v>296</v>
      </c>
      <c r="J81">
        <v>180</v>
      </c>
    </row>
    <row r="84" spans="2:10" x14ac:dyDescent="0.25">
      <c r="B84" t="s">
        <v>298</v>
      </c>
      <c r="F84" s="1" t="s">
        <v>299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76D25-6555-4D23-A6A6-3B213BE61AC5}">
  <dimension ref="A4:I11"/>
  <sheetViews>
    <sheetView zoomScale="150" zoomScaleNormal="150" workbookViewId="0">
      <selection activeCell="C6" sqref="C6"/>
    </sheetView>
  </sheetViews>
  <sheetFormatPr defaultRowHeight="15" x14ac:dyDescent="0.25"/>
  <sheetData>
    <row r="4" spans="1:9" x14ac:dyDescent="0.25">
      <c r="B4" t="s">
        <v>0</v>
      </c>
      <c r="G4" t="s">
        <v>1</v>
      </c>
    </row>
    <row r="5" spans="1:9" x14ac:dyDescent="0.25">
      <c r="A5" t="s">
        <v>331</v>
      </c>
      <c r="B5" s="59">
        <f>50+1450</f>
        <v>1500</v>
      </c>
      <c r="C5" s="5" t="s">
        <v>329</v>
      </c>
      <c r="D5" s="8">
        <v>200</v>
      </c>
      <c r="E5" s="8"/>
      <c r="F5" t="s">
        <v>39</v>
      </c>
      <c r="G5" s="6">
        <v>1800</v>
      </c>
      <c r="H5" s="5" t="s">
        <v>38</v>
      </c>
      <c r="I5">
        <v>1000</v>
      </c>
    </row>
    <row r="6" spans="1:9" x14ac:dyDescent="0.25">
      <c r="A6" t="s">
        <v>332</v>
      </c>
      <c r="B6" s="9">
        <v>550</v>
      </c>
      <c r="C6" s="3" t="s">
        <v>333</v>
      </c>
      <c r="D6" s="3">
        <v>1450</v>
      </c>
      <c r="E6" s="8"/>
      <c r="G6" s="9"/>
      <c r="H6" s="8" t="s">
        <v>328</v>
      </c>
      <c r="I6">
        <v>800</v>
      </c>
    </row>
    <row r="7" spans="1:9" x14ac:dyDescent="0.25">
      <c r="B7" s="9"/>
      <c r="C7" s="8" t="s">
        <v>328</v>
      </c>
      <c r="D7" s="8">
        <v>-800</v>
      </c>
      <c r="E7" s="8"/>
      <c r="G7" s="9"/>
      <c r="H7" s="8"/>
    </row>
    <row r="8" spans="1:9" ht="15.75" thickBot="1" x14ac:dyDescent="0.3">
      <c r="B8" s="9"/>
      <c r="C8" s="8" t="s">
        <v>330</v>
      </c>
      <c r="D8" s="38">
        <f>SUM(D5:D7)</f>
        <v>850</v>
      </c>
      <c r="E8" s="8"/>
      <c r="G8" s="9"/>
      <c r="H8" s="8"/>
    </row>
    <row r="9" spans="1:9" ht="15.75" thickTop="1" x14ac:dyDescent="0.25">
      <c r="B9" s="9"/>
      <c r="C9" s="8"/>
      <c r="D9" s="8"/>
      <c r="E9" s="8"/>
      <c r="G9" s="9"/>
      <c r="H9" s="8"/>
    </row>
    <row r="10" spans="1:9" x14ac:dyDescent="0.25">
      <c r="B10" s="9"/>
      <c r="C10" s="57" t="s">
        <v>30</v>
      </c>
      <c r="D10" s="8">
        <v>1200</v>
      </c>
      <c r="E10" s="8"/>
      <c r="G10" s="9"/>
      <c r="H10" s="8"/>
    </row>
    <row r="11" spans="1:9" x14ac:dyDescent="0.25">
      <c r="B11">
        <f>++B6+B5</f>
        <v>2050</v>
      </c>
      <c r="D11">
        <f>+D10+D8</f>
        <v>2050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838A-7334-4E0F-A3AB-DE350EA23F06}">
  <dimension ref="B4:Q67"/>
  <sheetViews>
    <sheetView topLeftCell="A49" zoomScale="140" zoomScaleNormal="140" workbookViewId="0">
      <selection activeCell="B31" sqref="B31"/>
    </sheetView>
  </sheetViews>
  <sheetFormatPr defaultRowHeight="15" x14ac:dyDescent="0.25"/>
  <cols>
    <col min="2" max="2" width="17.85546875" customWidth="1"/>
    <col min="3" max="3" width="16.7109375" customWidth="1"/>
    <col min="8" max="8" width="13.7109375" bestFit="1" customWidth="1"/>
  </cols>
  <sheetData>
    <row r="4" spans="2:6" x14ac:dyDescent="0.25">
      <c r="B4" t="s">
        <v>300</v>
      </c>
      <c r="E4" t="s">
        <v>302</v>
      </c>
    </row>
    <row r="5" spans="2:6" x14ac:dyDescent="0.25">
      <c r="B5" s="6">
        <v>100</v>
      </c>
      <c r="C5" s="5"/>
      <c r="E5" s="6"/>
      <c r="F5" s="5"/>
    </row>
    <row r="6" spans="2:6" x14ac:dyDescent="0.25">
      <c r="B6" s="9"/>
      <c r="C6" s="8"/>
      <c r="E6" s="9">
        <v>10</v>
      </c>
      <c r="F6" s="8"/>
    </row>
    <row r="7" spans="2:6" x14ac:dyDescent="0.25">
      <c r="B7" s="9"/>
      <c r="C7" s="8"/>
      <c r="E7" s="9"/>
      <c r="F7" s="8"/>
    </row>
    <row r="8" spans="2:6" x14ac:dyDescent="0.25">
      <c r="B8" s="9"/>
      <c r="C8" s="8"/>
      <c r="E8" s="9"/>
      <c r="F8" s="8"/>
    </row>
    <row r="9" spans="2:6" x14ac:dyDescent="0.25">
      <c r="B9" s="9"/>
      <c r="C9" s="8"/>
      <c r="E9" s="9"/>
      <c r="F9" s="8"/>
    </row>
    <row r="10" spans="2:6" x14ac:dyDescent="0.25">
      <c r="B10" s="9"/>
      <c r="C10" s="8"/>
      <c r="E10" s="9"/>
      <c r="F10" s="8"/>
    </row>
    <row r="13" spans="2:6" x14ac:dyDescent="0.25">
      <c r="B13" t="s">
        <v>301</v>
      </c>
    </row>
    <row r="14" spans="2:6" x14ac:dyDescent="0.25">
      <c r="B14" s="6"/>
      <c r="C14" s="5"/>
    </row>
    <row r="15" spans="2:6" x14ac:dyDescent="0.25">
      <c r="B15" s="9"/>
      <c r="C15" s="8">
        <v>10</v>
      </c>
    </row>
    <row r="16" spans="2:6" x14ac:dyDescent="0.25">
      <c r="B16" s="9"/>
      <c r="C16" s="8">
        <v>10</v>
      </c>
    </row>
    <row r="17" spans="2:4" x14ac:dyDescent="0.25">
      <c r="B17" s="9"/>
      <c r="C17" s="8">
        <v>10</v>
      </c>
    </row>
    <row r="18" spans="2:4" x14ac:dyDescent="0.25">
      <c r="B18" s="9"/>
      <c r="C18" s="57">
        <v>10</v>
      </c>
    </row>
    <row r="19" spans="2:4" x14ac:dyDescent="0.25">
      <c r="B19" s="9"/>
      <c r="C19" s="8"/>
    </row>
    <row r="24" spans="2:4" x14ac:dyDescent="0.25">
      <c r="B24" t="s">
        <v>303</v>
      </c>
      <c r="C24" s="25">
        <v>10000</v>
      </c>
    </row>
    <row r="26" spans="2:4" x14ac:dyDescent="0.25">
      <c r="B26" t="s">
        <v>304</v>
      </c>
      <c r="C26">
        <v>10</v>
      </c>
      <c r="D26">
        <f>+C24/C26</f>
        <v>1000</v>
      </c>
    </row>
    <row r="29" spans="2:4" x14ac:dyDescent="0.25">
      <c r="B29" t="s">
        <v>23</v>
      </c>
      <c r="C29" s="27">
        <f>+C24</f>
        <v>10000</v>
      </c>
    </row>
    <row r="30" spans="2:4" x14ac:dyDescent="0.25">
      <c r="B30" s="18" t="s">
        <v>305</v>
      </c>
      <c r="C30" s="25">
        <v>-1000</v>
      </c>
    </row>
    <row r="31" spans="2:4" x14ac:dyDescent="0.25">
      <c r="B31" t="s">
        <v>306</v>
      </c>
      <c r="C31" s="27">
        <v>9000</v>
      </c>
    </row>
    <row r="39" spans="2:6" x14ac:dyDescent="0.25">
      <c r="B39" s="1" t="s">
        <v>307</v>
      </c>
    </row>
    <row r="41" spans="2:6" x14ac:dyDescent="0.25">
      <c r="C41">
        <v>1</v>
      </c>
      <c r="D41" t="s">
        <v>308</v>
      </c>
    </row>
    <row r="43" spans="2:6" x14ac:dyDescent="0.25">
      <c r="C43">
        <v>2</v>
      </c>
      <c r="D43" t="s">
        <v>309</v>
      </c>
    </row>
    <row r="45" spans="2:6" x14ac:dyDescent="0.25">
      <c r="C45">
        <v>3</v>
      </c>
      <c r="D45" t="s">
        <v>310</v>
      </c>
    </row>
    <row r="47" spans="2:6" x14ac:dyDescent="0.25">
      <c r="F47" t="s">
        <v>311</v>
      </c>
    </row>
    <row r="49" spans="6:17" x14ac:dyDescent="0.25">
      <c r="F49" s="58" t="s">
        <v>312</v>
      </c>
    </row>
    <row r="51" spans="6:17" x14ac:dyDescent="0.25">
      <c r="F51" t="s">
        <v>313</v>
      </c>
      <c r="H51">
        <v>100</v>
      </c>
      <c r="I51">
        <f>+H54</f>
        <v>90</v>
      </c>
      <c r="J51">
        <f>+I54</f>
        <v>81</v>
      </c>
      <c r="K51">
        <f t="shared" ref="K51:Q51" si="0">+J54</f>
        <v>72.900000000000006</v>
      </c>
      <c r="L51">
        <f t="shared" si="0"/>
        <v>65.61</v>
      </c>
      <c r="M51">
        <f t="shared" si="0"/>
        <v>59.048999999999999</v>
      </c>
      <c r="N51">
        <f t="shared" si="0"/>
        <v>53.144100000000002</v>
      </c>
      <c r="O51">
        <f t="shared" si="0"/>
        <v>47.829689999999999</v>
      </c>
      <c r="P51">
        <f t="shared" si="0"/>
        <v>43.046720999999998</v>
      </c>
      <c r="Q51">
        <f t="shared" si="0"/>
        <v>38.7420489</v>
      </c>
    </row>
    <row r="52" spans="6:17" x14ac:dyDescent="0.25">
      <c r="H52" s="21">
        <v>0.1</v>
      </c>
      <c r="I52" s="21">
        <v>0.1</v>
      </c>
      <c r="J52" s="21">
        <v>0.1</v>
      </c>
      <c r="K52" s="21">
        <v>0.1</v>
      </c>
      <c r="L52" s="21">
        <v>0.1</v>
      </c>
      <c r="M52" s="21">
        <v>0.1</v>
      </c>
      <c r="N52" s="21">
        <v>0.1</v>
      </c>
      <c r="O52" s="21">
        <v>0.1</v>
      </c>
      <c r="P52" s="21">
        <v>0.1</v>
      </c>
      <c r="Q52" s="21">
        <v>0.1</v>
      </c>
    </row>
    <row r="53" spans="6:17" x14ac:dyDescent="0.25">
      <c r="H53">
        <f>+H52*H51</f>
        <v>10</v>
      </c>
      <c r="I53">
        <f>+I52*I51</f>
        <v>9</v>
      </c>
      <c r="J53">
        <f>+J52*J51</f>
        <v>8.1</v>
      </c>
      <c r="K53">
        <f t="shared" ref="K53:Q53" si="1">+K52*K51</f>
        <v>7.2900000000000009</v>
      </c>
      <c r="L53">
        <f t="shared" si="1"/>
        <v>6.5609999999999999</v>
      </c>
      <c r="M53">
        <f t="shared" si="1"/>
        <v>5.9049000000000005</v>
      </c>
      <c r="N53">
        <f t="shared" si="1"/>
        <v>5.3144100000000005</v>
      </c>
      <c r="O53">
        <f t="shared" si="1"/>
        <v>4.7829690000000005</v>
      </c>
      <c r="P53">
        <f t="shared" si="1"/>
        <v>4.3046721000000003</v>
      </c>
      <c r="Q53">
        <f t="shared" si="1"/>
        <v>3.8742048900000001</v>
      </c>
    </row>
    <row r="54" spans="6:17" x14ac:dyDescent="0.25">
      <c r="H54">
        <f>+H51-H53</f>
        <v>90</v>
      </c>
      <c r="I54">
        <f>+I51-I53</f>
        <v>81</v>
      </c>
      <c r="J54">
        <f>+J51-J53</f>
        <v>72.900000000000006</v>
      </c>
      <c r="K54">
        <f t="shared" ref="K54:Q54" si="2">+K51-K53</f>
        <v>65.61</v>
      </c>
      <c r="L54">
        <f t="shared" si="2"/>
        <v>59.048999999999999</v>
      </c>
      <c r="M54">
        <f t="shared" si="2"/>
        <v>53.144100000000002</v>
      </c>
      <c r="N54">
        <f t="shared" si="2"/>
        <v>47.829689999999999</v>
      </c>
      <c r="O54">
        <f t="shared" si="2"/>
        <v>43.046720999999998</v>
      </c>
      <c r="P54">
        <f t="shared" si="2"/>
        <v>38.7420489</v>
      </c>
      <c r="Q54">
        <f t="shared" si="2"/>
        <v>34.867844009999999</v>
      </c>
    </row>
    <row r="56" spans="6:17" x14ac:dyDescent="0.25">
      <c r="F56" s="1" t="s">
        <v>314</v>
      </c>
    </row>
    <row r="58" spans="6:17" x14ac:dyDescent="0.25">
      <c r="H58" s="25">
        <v>10000</v>
      </c>
    </row>
    <row r="59" spans="6:17" x14ac:dyDescent="0.25">
      <c r="H59">
        <v>280000</v>
      </c>
      <c r="K59">
        <v>25000</v>
      </c>
      <c r="L59">
        <v>35000</v>
      </c>
    </row>
    <row r="60" spans="6:17" x14ac:dyDescent="0.25">
      <c r="K60" s="51">
        <f>+K59/280000</f>
        <v>8.9285714285714288E-2</v>
      </c>
      <c r="L60" s="51">
        <f>+L59/280000</f>
        <v>0.125</v>
      </c>
    </row>
    <row r="61" spans="6:17" x14ac:dyDescent="0.25">
      <c r="H61" t="s">
        <v>315</v>
      </c>
    </row>
    <row r="63" spans="6:17" x14ac:dyDescent="0.25">
      <c r="F63" s="58" t="s">
        <v>316</v>
      </c>
    </row>
    <row r="65" spans="6:6" x14ac:dyDescent="0.25">
      <c r="F65" s="58" t="s">
        <v>317</v>
      </c>
    </row>
    <row r="67" spans="6:6" x14ac:dyDescent="0.25">
      <c r="F67" t="s">
        <v>318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DCEB-7586-4023-B488-D1D698BA2130}">
  <dimension ref="B4:I14"/>
  <sheetViews>
    <sheetView topLeftCell="A4" zoomScale="140" zoomScaleNormal="140" workbookViewId="0">
      <selection activeCell="A4" sqref="A4"/>
    </sheetView>
  </sheetViews>
  <sheetFormatPr defaultRowHeight="15" x14ac:dyDescent="0.25"/>
  <cols>
    <col min="2" max="2" width="10.7109375" customWidth="1"/>
  </cols>
  <sheetData>
    <row r="4" spans="2:9" x14ac:dyDescent="0.25">
      <c r="B4" s="1" t="s">
        <v>319</v>
      </c>
    </row>
    <row r="6" spans="2:9" x14ac:dyDescent="0.25">
      <c r="B6" t="s">
        <v>320</v>
      </c>
    </row>
    <row r="10" spans="2:9" x14ac:dyDescent="0.25">
      <c r="I10" t="s">
        <v>325</v>
      </c>
    </row>
    <row r="11" spans="2:9" x14ac:dyDescent="0.25">
      <c r="D11" s="1" t="s">
        <v>321</v>
      </c>
      <c r="H11">
        <v>20</v>
      </c>
    </row>
    <row r="12" spans="2:9" x14ac:dyDescent="0.25">
      <c r="B12" t="s">
        <v>323</v>
      </c>
      <c r="C12" t="s">
        <v>327</v>
      </c>
      <c r="I12" t="s">
        <v>326</v>
      </c>
    </row>
    <row r="14" spans="2:9" x14ac:dyDescent="0.25">
      <c r="D14" t="s">
        <v>322</v>
      </c>
      <c r="H14">
        <v>80</v>
      </c>
      <c r="I14" t="s">
        <v>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6625-BE85-4D38-ACF9-2D98FE3C855B}">
  <dimension ref="C4:I17"/>
  <sheetViews>
    <sheetView topLeftCell="A7" zoomScale="130" zoomScaleNormal="130" workbookViewId="0">
      <selection activeCell="G14" sqref="G14"/>
    </sheetView>
  </sheetViews>
  <sheetFormatPr defaultRowHeight="15" x14ac:dyDescent="0.25"/>
  <sheetData>
    <row r="4" spans="3:9" x14ac:dyDescent="0.25">
      <c r="F4" s="17" t="s">
        <v>53</v>
      </c>
      <c r="G4" s="17"/>
    </row>
    <row r="5" spans="3:9" x14ac:dyDescent="0.25">
      <c r="F5" s="17" t="s">
        <v>54</v>
      </c>
      <c r="G5" s="17"/>
    </row>
    <row r="8" spans="3:9" x14ac:dyDescent="0.25">
      <c r="C8" t="s">
        <v>55</v>
      </c>
      <c r="F8" s="17" t="s">
        <v>55</v>
      </c>
      <c r="G8" s="17"/>
      <c r="H8" s="18" t="s">
        <v>60</v>
      </c>
      <c r="I8" s="17" t="s">
        <v>55</v>
      </c>
    </row>
    <row r="9" spans="3:9" x14ac:dyDescent="0.25">
      <c r="C9" t="s">
        <v>57</v>
      </c>
      <c r="F9" s="17" t="s">
        <v>56</v>
      </c>
      <c r="G9" s="17"/>
      <c r="I9" s="17" t="s">
        <v>58</v>
      </c>
    </row>
    <row r="11" spans="3:9" x14ac:dyDescent="0.25">
      <c r="E11" s="17" t="s">
        <v>61</v>
      </c>
      <c r="G11" t="s">
        <v>65</v>
      </c>
      <c r="I11" s="17" t="s">
        <v>59</v>
      </c>
    </row>
    <row r="12" spans="3:9" x14ac:dyDescent="0.25">
      <c r="E12" s="17"/>
    </row>
    <row r="13" spans="3:9" x14ac:dyDescent="0.25">
      <c r="E13" s="17" t="s">
        <v>62</v>
      </c>
      <c r="G13" t="s">
        <v>66</v>
      </c>
    </row>
    <row r="14" spans="3:9" x14ac:dyDescent="0.25">
      <c r="E14" s="17"/>
    </row>
    <row r="15" spans="3:9" x14ac:dyDescent="0.25">
      <c r="E15" s="17" t="s">
        <v>63</v>
      </c>
    </row>
    <row r="16" spans="3:9" x14ac:dyDescent="0.25">
      <c r="E16" s="17"/>
    </row>
    <row r="17" spans="5:5" x14ac:dyDescent="0.25">
      <c r="E17" s="17" t="s">
        <v>64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3A3E9-594F-401D-B0B6-1580BB61BA8A}">
  <dimension ref="C4:F10"/>
  <sheetViews>
    <sheetView zoomScale="150" zoomScaleNormal="150" workbookViewId="0">
      <selection activeCell="G9" sqref="G9"/>
    </sheetView>
  </sheetViews>
  <sheetFormatPr defaultRowHeight="15" x14ac:dyDescent="0.25"/>
  <sheetData>
    <row r="4" spans="3:6" x14ac:dyDescent="0.25">
      <c r="C4" s="1" t="s">
        <v>337</v>
      </c>
    </row>
    <row r="6" spans="3:6" x14ac:dyDescent="0.25">
      <c r="C6">
        <v>1</v>
      </c>
      <c r="D6" t="s">
        <v>334</v>
      </c>
      <c r="F6" t="s">
        <v>338</v>
      </c>
    </row>
    <row r="8" spans="3:6" x14ac:dyDescent="0.25">
      <c r="C8">
        <v>2</v>
      </c>
      <c r="D8" t="s">
        <v>335</v>
      </c>
      <c r="F8" t="s">
        <v>339</v>
      </c>
    </row>
    <row r="10" spans="3:6" x14ac:dyDescent="0.25">
      <c r="C10">
        <v>3</v>
      </c>
      <c r="D10" t="s">
        <v>336</v>
      </c>
      <c r="F10" t="s">
        <v>340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49A1-1814-41D0-A071-22221431445A}">
  <dimension ref="A3:K39"/>
  <sheetViews>
    <sheetView topLeftCell="A25" zoomScale="120" zoomScaleNormal="120" workbookViewId="0">
      <selection activeCell="A33" sqref="A33"/>
    </sheetView>
  </sheetViews>
  <sheetFormatPr defaultRowHeight="15" x14ac:dyDescent="0.25"/>
  <cols>
    <col min="1" max="1" width="9.140625" style="25"/>
    <col min="2" max="2" width="15.7109375" style="25" customWidth="1"/>
    <col min="3" max="3" width="9.140625" style="25"/>
    <col min="4" max="4" width="15.5703125" style="25" bestFit="1" customWidth="1"/>
    <col min="5" max="6" width="15.5703125" style="25" customWidth="1"/>
    <col min="7" max="7" width="16.7109375" style="25" customWidth="1"/>
    <col min="8" max="8" width="13.140625" style="25" customWidth="1"/>
    <col min="9" max="9" width="13.42578125" style="25" bestFit="1" customWidth="1"/>
    <col min="10" max="10" width="12.28515625" style="25" bestFit="1" customWidth="1"/>
    <col min="11" max="11" width="15.85546875" style="25" customWidth="1"/>
    <col min="12" max="16384" width="9.140625" style="25"/>
  </cols>
  <sheetData>
    <row r="3" spans="1:7" x14ac:dyDescent="0.25">
      <c r="B3" s="25" t="s">
        <v>23</v>
      </c>
      <c r="D3" s="25">
        <v>500000</v>
      </c>
    </row>
    <row r="5" spans="1:7" x14ac:dyDescent="0.25">
      <c r="B5" s="25" t="s">
        <v>309</v>
      </c>
      <c r="D5" s="25">
        <v>10</v>
      </c>
    </row>
    <row r="7" spans="1:7" x14ac:dyDescent="0.25">
      <c r="B7" s="25" t="s">
        <v>368</v>
      </c>
      <c r="D7" s="29">
        <v>20000</v>
      </c>
    </row>
    <row r="9" spans="1:7" x14ac:dyDescent="0.25">
      <c r="B9" s="25" t="s">
        <v>369</v>
      </c>
      <c r="D9" s="25">
        <f>+D3-D7</f>
        <v>480000</v>
      </c>
    </row>
    <row r="11" spans="1:7" x14ac:dyDescent="0.25">
      <c r="B11" s="25" t="s">
        <v>370</v>
      </c>
      <c r="D11" s="25">
        <f>+D9/D5</f>
        <v>48000</v>
      </c>
    </row>
    <row r="13" spans="1:7" x14ac:dyDescent="0.25">
      <c r="B13" s="25" t="s">
        <v>371</v>
      </c>
      <c r="D13" s="25" t="s">
        <v>372</v>
      </c>
      <c r="E13" s="25" t="s">
        <v>373</v>
      </c>
      <c r="F13" s="25" t="s">
        <v>374</v>
      </c>
      <c r="G13" s="25" t="s">
        <v>321</v>
      </c>
    </row>
    <row r="14" spans="1:7" x14ac:dyDescent="0.25">
      <c r="A14" s="25">
        <v>0</v>
      </c>
      <c r="B14" s="25">
        <f>+D11</f>
        <v>48000</v>
      </c>
      <c r="D14" s="25">
        <f>+B14</f>
        <v>48000</v>
      </c>
      <c r="E14" s="25">
        <f>+$D$3-D14</f>
        <v>452000</v>
      </c>
      <c r="F14" s="25">
        <v>400000</v>
      </c>
      <c r="G14" s="25">
        <v>470000</v>
      </c>
    </row>
    <row r="15" spans="1:7" x14ac:dyDescent="0.25">
      <c r="A15" s="25">
        <f>+A14+1</f>
        <v>1</v>
      </c>
      <c r="B15" s="25">
        <f>+B14</f>
        <v>48000</v>
      </c>
      <c r="D15" s="25">
        <f>+D14+B15</f>
        <v>96000</v>
      </c>
      <c r="E15" s="25">
        <f t="shared" ref="E15:E23" si="0">+$D$3-D15</f>
        <v>404000</v>
      </c>
    </row>
    <row r="16" spans="1:7" x14ac:dyDescent="0.25">
      <c r="A16" s="25">
        <f>+A15+1</f>
        <v>2</v>
      </c>
      <c r="B16" s="25">
        <f t="shared" ref="B16:B23" si="1">+B15</f>
        <v>48000</v>
      </c>
      <c r="D16" s="25">
        <f t="shared" ref="D16:D23" si="2">+D15+B16</f>
        <v>144000</v>
      </c>
      <c r="E16" s="25">
        <f t="shared" si="0"/>
        <v>356000</v>
      </c>
    </row>
    <row r="17" spans="1:11" s="65" customFormat="1" x14ac:dyDescent="0.25">
      <c r="A17" s="65">
        <f t="shared" ref="A17:A23" si="3">+A16+1</f>
        <v>3</v>
      </c>
      <c r="B17" s="65">
        <f t="shared" si="1"/>
        <v>48000</v>
      </c>
      <c r="D17" s="65">
        <f t="shared" si="2"/>
        <v>192000</v>
      </c>
      <c r="E17" s="65">
        <f t="shared" si="0"/>
        <v>308000</v>
      </c>
    </row>
    <row r="18" spans="1:11" x14ac:dyDescent="0.25">
      <c r="A18" s="25">
        <f t="shared" si="3"/>
        <v>4</v>
      </c>
      <c r="B18" s="25">
        <f t="shared" si="1"/>
        <v>48000</v>
      </c>
      <c r="D18" s="25">
        <f t="shared" si="2"/>
        <v>240000</v>
      </c>
      <c r="E18" s="25">
        <f t="shared" si="0"/>
        <v>260000</v>
      </c>
    </row>
    <row r="19" spans="1:11" x14ac:dyDescent="0.25">
      <c r="A19" s="25">
        <f t="shared" si="3"/>
        <v>5</v>
      </c>
      <c r="B19" s="25">
        <f t="shared" si="1"/>
        <v>48000</v>
      </c>
      <c r="D19" s="25">
        <f t="shared" si="2"/>
        <v>288000</v>
      </c>
      <c r="E19" s="25">
        <f t="shared" si="0"/>
        <v>212000</v>
      </c>
    </row>
    <row r="20" spans="1:11" x14ac:dyDescent="0.25">
      <c r="A20" s="25">
        <f t="shared" si="3"/>
        <v>6</v>
      </c>
      <c r="B20" s="25">
        <f t="shared" si="1"/>
        <v>48000</v>
      </c>
      <c r="D20" s="25">
        <f t="shared" si="2"/>
        <v>336000</v>
      </c>
      <c r="E20" s="25">
        <f t="shared" si="0"/>
        <v>164000</v>
      </c>
    </row>
    <row r="21" spans="1:11" x14ac:dyDescent="0.25">
      <c r="A21" s="25">
        <f t="shared" si="3"/>
        <v>7</v>
      </c>
      <c r="B21" s="25">
        <f t="shared" si="1"/>
        <v>48000</v>
      </c>
      <c r="D21" s="25">
        <f t="shared" si="2"/>
        <v>384000</v>
      </c>
      <c r="E21" s="25">
        <f t="shared" si="0"/>
        <v>116000</v>
      </c>
    </row>
    <row r="22" spans="1:11" x14ac:dyDescent="0.25">
      <c r="A22" s="25">
        <f t="shared" si="3"/>
        <v>8</v>
      </c>
      <c r="B22" s="25">
        <f t="shared" si="1"/>
        <v>48000</v>
      </c>
      <c r="D22" s="25">
        <f t="shared" si="2"/>
        <v>432000</v>
      </c>
      <c r="E22" s="25">
        <f t="shared" si="0"/>
        <v>68000</v>
      </c>
    </row>
    <row r="23" spans="1:11" x14ac:dyDescent="0.25">
      <c r="A23" s="25">
        <f t="shared" si="3"/>
        <v>9</v>
      </c>
      <c r="B23" s="25">
        <f t="shared" si="1"/>
        <v>48000</v>
      </c>
      <c r="D23" s="25">
        <f t="shared" si="2"/>
        <v>480000</v>
      </c>
      <c r="E23" s="25">
        <f t="shared" si="0"/>
        <v>20000</v>
      </c>
    </row>
    <row r="26" spans="1:11" x14ac:dyDescent="0.25">
      <c r="A26" s="25" t="s">
        <v>375</v>
      </c>
    </row>
    <row r="29" spans="1:11" x14ac:dyDescent="0.25">
      <c r="B29" s="25" t="s">
        <v>371</v>
      </c>
      <c r="D29" s="25" t="s">
        <v>372</v>
      </c>
      <c r="E29" s="25" t="s">
        <v>373</v>
      </c>
      <c r="F29" s="25" t="s">
        <v>374</v>
      </c>
      <c r="G29" s="25" t="s">
        <v>321</v>
      </c>
      <c r="H29" s="25" t="s">
        <v>376</v>
      </c>
      <c r="I29" s="25" t="s">
        <v>377</v>
      </c>
      <c r="J29" s="25" t="s">
        <v>355</v>
      </c>
      <c r="K29" s="25" t="s">
        <v>306</v>
      </c>
    </row>
    <row r="30" spans="1:11" x14ac:dyDescent="0.25">
      <c r="A30" s="25">
        <v>0</v>
      </c>
      <c r="B30" s="25">
        <f>+D11</f>
        <v>48000</v>
      </c>
      <c r="D30" s="25">
        <f>+B30</f>
        <v>48000</v>
      </c>
      <c r="E30" s="25">
        <f>+$D$3-D30</f>
        <v>452000</v>
      </c>
      <c r="F30" s="25">
        <v>400000</v>
      </c>
      <c r="G30" s="25">
        <v>470000</v>
      </c>
    </row>
    <row r="31" spans="1:11" x14ac:dyDescent="0.25">
      <c r="A31" s="25">
        <f>+A30+1</f>
        <v>1</v>
      </c>
      <c r="B31" s="25">
        <f>+B30</f>
        <v>48000</v>
      </c>
      <c r="D31" s="25">
        <f>+D30+B31</f>
        <v>96000</v>
      </c>
      <c r="E31" s="25">
        <f t="shared" ref="E31:E39" si="4">+$D$3-D31</f>
        <v>404000</v>
      </c>
    </row>
    <row r="32" spans="1:11" x14ac:dyDescent="0.25">
      <c r="A32" s="25">
        <f>+A31+1</f>
        <v>2</v>
      </c>
      <c r="B32" s="25">
        <f t="shared" ref="B32:B39" si="5">+B31</f>
        <v>48000</v>
      </c>
      <c r="D32" s="25">
        <f t="shared" ref="D32" si="6">+D31+B32</f>
        <v>144000</v>
      </c>
      <c r="E32" s="25">
        <f t="shared" si="4"/>
        <v>356000</v>
      </c>
    </row>
    <row r="33" spans="1:11" s="65" customFormat="1" x14ac:dyDescent="0.25">
      <c r="A33" s="65">
        <f t="shared" ref="A33:A39" si="7">+A32+1</f>
        <v>3</v>
      </c>
      <c r="B33" s="65">
        <f>+E32/7</f>
        <v>50857.142857142855</v>
      </c>
      <c r="D33" s="25">
        <f t="shared" ref="D33:D39" si="8">+D32+B33</f>
        <v>194857.14285714284</v>
      </c>
      <c r="E33" s="29">
        <f t="shared" si="4"/>
        <v>305142.85714285716</v>
      </c>
      <c r="F33" s="65">
        <v>250000</v>
      </c>
      <c r="G33" s="66">
        <v>297000</v>
      </c>
      <c r="H33" s="65">
        <f>+E33-G33</f>
        <v>8142.8571428571595</v>
      </c>
      <c r="I33" s="65">
        <f>+H33+B33</f>
        <v>59000.000000000015</v>
      </c>
      <c r="J33" s="65">
        <f>+H33</f>
        <v>8142.8571428571595</v>
      </c>
      <c r="K33" s="65">
        <f>+E33-J33</f>
        <v>297000</v>
      </c>
    </row>
    <row r="34" spans="1:11" x14ac:dyDescent="0.25">
      <c r="A34" s="25">
        <f t="shared" si="7"/>
        <v>4</v>
      </c>
      <c r="B34" s="25">
        <f t="shared" si="5"/>
        <v>50857.142857142855</v>
      </c>
      <c r="D34" s="25">
        <f t="shared" si="8"/>
        <v>245714.28571428568</v>
      </c>
      <c r="E34" s="25">
        <f t="shared" si="4"/>
        <v>254285.71428571432</v>
      </c>
      <c r="H34" s="25">
        <f>-H33/6</f>
        <v>-1357.1428571428598</v>
      </c>
      <c r="I34" s="65">
        <f t="shared" ref="I34:I39" si="9">+H34+B34</f>
        <v>49499.999999999993</v>
      </c>
      <c r="J34" s="25">
        <f>+J33+H34</f>
        <v>6785.7142857142999</v>
      </c>
      <c r="K34" s="65">
        <f t="shared" ref="K34:K39" si="10">+E34-J34</f>
        <v>247500.00000000003</v>
      </c>
    </row>
    <row r="35" spans="1:11" x14ac:dyDescent="0.25">
      <c r="A35" s="25">
        <f t="shared" si="7"/>
        <v>5</v>
      </c>
      <c r="B35" s="25">
        <f t="shared" si="5"/>
        <v>50857.142857142855</v>
      </c>
      <c r="D35" s="25">
        <f t="shared" si="8"/>
        <v>296571.42857142852</v>
      </c>
      <c r="E35" s="25">
        <f t="shared" si="4"/>
        <v>203428.57142857148</v>
      </c>
      <c r="H35" s="25">
        <f>+H34</f>
        <v>-1357.1428571428598</v>
      </c>
      <c r="I35" s="65">
        <f t="shared" si="9"/>
        <v>49499.999999999993</v>
      </c>
      <c r="J35" s="25">
        <f t="shared" ref="J35:J39" si="11">+J34+H35</f>
        <v>5428.5714285714403</v>
      </c>
      <c r="K35" s="65">
        <f t="shared" si="10"/>
        <v>198000.00000000003</v>
      </c>
    </row>
    <row r="36" spans="1:11" x14ac:dyDescent="0.25">
      <c r="A36" s="25">
        <f t="shared" si="7"/>
        <v>6</v>
      </c>
      <c r="B36" s="25">
        <f t="shared" si="5"/>
        <v>50857.142857142855</v>
      </c>
      <c r="D36" s="25">
        <f t="shared" si="8"/>
        <v>347428.57142857136</v>
      </c>
      <c r="E36" s="25">
        <f t="shared" si="4"/>
        <v>152571.42857142864</v>
      </c>
      <c r="H36" s="25">
        <f t="shared" ref="H36:H39" si="12">+H35</f>
        <v>-1357.1428571428598</v>
      </c>
      <c r="I36" s="65">
        <f t="shared" si="9"/>
        <v>49499.999999999993</v>
      </c>
      <c r="J36" s="25">
        <f t="shared" si="11"/>
        <v>4071.4285714285807</v>
      </c>
      <c r="K36" s="65">
        <f t="shared" si="10"/>
        <v>148500.00000000006</v>
      </c>
    </row>
    <row r="37" spans="1:11" x14ac:dyDescent="0.25">
      <c r="A37" s="25">
        <f t="shared" si="7"/>
        <v>7</v>
      </c>
      <c r="B37" s="25">
        <f t="shared" si="5"/>
        <v>50857.142857142855</v>
      </c>
      <c r="D37" s="25">
        <f t="shared" si="8"/>
        <v>398285.7142857142</v>
      </c>
      <c r="E37" s="25">
        <f t="shared" si="4"/>
        <v>101714.2857142858</v>
      </c>
      <c r="H37" s="25">
        <f t="shared" si="12"/>
        <v>-1357.1428571428598</v>
      </c>
      <c r="I37" s="65">
        <f t="shared" si="9"/>
        <v>49499.999999999993</v>
      </c>
      <c r="J37" s="25">
        <f t="shared" si="11"/>
        <v>2714.285714285721</v>
      </c>
      <c r="K37" s="65">
        <f t="shared" si="10"/>
        <v>99000.000000000073</v>
      </c>
    </row>
    <row r="38" spans="1:11" x14ac:dyDescent="0.25">
      <c r="A38" s="25">
        <f t="shared" si="7"/>
        <v>8</v>
      </c>
      <c r="B38" s="25">
        <f t="shared" si="5"/>
        <v>50857.142857142855</v>
      </c>
      <c r="D38" s="25">
        <f t="shared" si="8"/>
        <v>449142.85714285704</v>
      </c>
      <c r="E38" s="25">
        <f t="shared" si="4"/>
        <v>50857.142857142957</v>
      </c>
      <c r="H38" s="25">
        <f t="shared" si="12"/>
        <v>-1357.1428571428598</v>
      </c>
      <c r="I38" s="65">
        <f t="shared" si="9"/>
        <v>49499.999999999993</v>
      </c>
      <c r="J38" s="25">
        <f t="shared" si="11"/>
        <v>1357.1428571428612</v>
      </c>
      <c r="K38" s="65">
        <f t="shared" si="10"/>
        <v>49500.000000000095</v>
      </c>
    </row>
    <row r="39" spans="1:11" x14ac:dyDescent="0.25">
      <c r="A39" s="25">
        <f t="shared" si="7"/>
        <v>9</v>
      </c>
      <c r="B39" s="25">
        <f t="shared" si="5"/>
        <v>50857.142857142855</v>
      </c>
      <c r="D39" s="25">
        <f t="shared" si="8"/>
        <v>499999.99999999988</v>
      </c>
      <c r="E39" s="25">
        <f t="shared" si="4"/>
        <v>0</v>
      </c>
      <c r="H39" s="25">
        <f t="shared" si="12"/>
        <v>-1357.1428571428598</v>
      </c>
      <c r="I39" s="65">
        <f t="shared" si="9"/>
        <v>49499.999999999993</v>
      </c>
      <c r="J39" s="25">
        <f t="shared" si="11"/>
        <v>0</v>
      </c>
      <c r="K39" s="65">
        <f t="shared" si="10"/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6985-92F3-4A13-A5B3-C60A6B721EA3}">
  <dimension ref="B4:F27"/>
  <sheetViews>
    <sheetView topLeftCell="A25" zoomScale="150" zoomScaleNormal="150" workbookViewId="0">
      <selection activeCell="C22" sqref="C22"/>
    </sheetView>
  </sheetViews>
  <sheetFormatPr defaultRowHeight="15" x14ac:dyDescent="0.25"/>
  <sheetData>
    <row r="4" spans="2:6" x14ac:dyDescent="0.25">
      <c r="B4" s="15" t="s">
        <v>378</v>
      </c>
    </row>
    <row r="7" spans="2:6" x14ac:dyDescent="0.25">
      <c r="B7" t="s">
        <v>379</v>
      </c>
    </row>
    <row r="9" spans="2:6" x14ac:dyDescent="0.25">
      <c r="B9" t="s">
        <v>380</v>
      </c>
      <c r="F9" s="21">
        <v>0.1</v>
      </c>
    </row>
    <row r="11" spans="2:6" x14ac:dyDescent="0.25">
      <c r="B11" t="s">
        <v>381</v>
      </c>
    </row>
    <row r="13" spans="2:6" x14ac:dyDescent="0.25">
      <c r="B13" t="s">
        <v>382</v>
      </c>
    </row>
    <row r="15" spans="2:6" x14ac:dyDescent="0.25">
      <c r="B15" s="58" t="s">
        <v>383</v>
      </c>
    </row>
    <row r="21" spans="2:5" x14ac:dyDescent="0.25">
      <c r="B21" s="15" t="s">
        <v>384</v>
      </c>
    </row>
    <row r="24" spans="2:5" x14ac:dyDescent="0.25">
      <c r="B24" t="s">
        <v>385</v>
      </c>
      <c r="E24" t="s">
        <v>387</v>
      </c>
    </row>
    <row r="27" spans="2:5" x14ac:dyDescent="0.25">
      <c r="B27" t="s">
        <v>386</v>
      </c>
      <c r="E27" t="s">
        <v>388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0210A-C53A-4550-9251-121171FAE233}">
  <dimension ref="A3:G39"/>
  <sheetViews>
    <sheetView topLeftCell="A10" zoomScale="130" zoomScaleNormal="130" workbookViewId="0">
      <selection activeCell="G12" sqref="G12"/>
    </sheetView>
  </sheetViews>
  <sheetFormatPr defaultRowHeight="15" x14ac:dyDescent="0.25"/>
  <cols>
    <col min="1" max="1" width="9.140625" style="25"/>
    <col min="2" max="2" width="22.7109375" style="25" customWidth="1"/>
    <col min="3" max="3" width="12.7109375" style="25" bestFit="1" customWidth="1"/>
    <col min="4" max="4" width="13.28515625" style="25" customWidth="1"/>
    <col min="5" max="5" width="15" style="25" customWidth="1"/>
    <col min="6" max="7" width="12.7109375" style="25" bestFit="1" customWidth="1"/>
    <col min="8" max="16384" width="9.140625" style="25"/>
  </cols>
  <sheetData>
    <row r="3" spans="1:7" ht="17.25" x14ac:dyDescent="0.4">
      <c r="B3" s="60" t="s">
        <v>341</v>
      </c>
    </row>
    <row r="5" spans="1:7" x14ac:dyDescent="0.25">
      <c r="B5" s="25" t="s">
        <v>342</v>
      </c>
      <c r="C5" s="25">
        <v>70000</v>
      </c>
    </row>
    <row r="7" spans="1:7" x14ac:dyDescent="0.25">
      <c r="B7" s="25" t="s">
        <v>343</v>
      </c>
      <c r="C7" s="25">
        <f>+C5</f>
        <v>70000</v>
      </c>
    </row>
    <row r="9" spans="1:7" x14ac:dyDescent="0.25">
      <c r="B9" s="25" t="s">
        <v>344</v>
      </c>
      <c r="C9" s="25">
        <v>5</v>
      </c>
    </row>
    <row r="10" spans="1:7" x14ac:dyDescent="0.25">
      <c r="C10" s="25" t="s">
        <v>345</v>
      </c>
      <c r="D10" s="25" t="s">
        <v>346</v>
      </c>
      <c r="E10" s="25" t="s">
        <v>347</v>
      </c>
      <c r="F10" s="25" t="s">
        <v>351</v>
      </c>
      <c r="G10" s="25" t="s">
        <v>352</v>
      </c>
    </row>
    <row r="11" spans="1:7" x14ac:dyDescent="0.25">
      <c r="A11" s="25">
        <v>1</v>
      </c>
      <c r="C11" s="25">
        <f>+C7/C9</f>
        <v>14000</v>
      </c>
      <c r="D11" s="25">
        <f>+C11</f>
        <v>14000</v>
      </c>
      <c r="E11" s="25">
        <f>+$C$5-D11</f>
        <v>56000</v>
      </c>
    </row>
    <row r="12" spans="1:7" x14ac:dyDescent="0.25">
      <c r="A12" s="25">
        <f>+A11+1</f>
        <v>2</v>
      </c>
      <c r="C12" s="29">
        <f>+C11</f>
        <v>14000</v>
      </c>
      <c r="D12" s="29">
        <f>+C12+D11</f>
        <v>28000</v>
      </c>
      <c r="E12" s="61">
        <f t="shared" ref="E12:E15" si="0">+$C$5-D12</f>
        <v>42000</v>
      </c>
      <c r="F12" s="62">
        <v>38000</v>
      </c>
      <c r="G12" s="63">
        <f>10000+20000+10000</f>
        <v>40000</v>
      </c>
    </row>
    <row r="13" spans="1:7" x14ac:dyDescent="0.25">
      <c r="A13" s="25">
        <f t="shared" ref="A13:A15" si="1">+A12+1</f>
        <v>3</v>
      </c>
      <c r="C13" s="25">
        <f t="shared" ref="C13:C15" si="2">+C12</f>
        <v>14000</v>
      </c>
      <c r="D13" s="25">
        <f t="shared" ref="D13:D15" si="3">+C13+D12</f>
        <v>42000</v>
      </c>
      <c r="E13" s="25">
        <f t="shared" si="0"/>
        <v>28000</v>
      </c>
    </row>
    <row r="14" spans="1:7" x14ac:dyDescent="0.25">
      <c r="A14" s="25">
        <f t="shared" si="1"/>
        <v>4</v>
      </c>
      <c r="C14" s="25">
        <f t="shared" si="2"/>
        <v>14000</v>
      </c>
      <c r="D14" s="25">
        <f t="shared" si="3"/>
        <v>56000</v>
      </c>
      <c r="E14" s="25">
        <f t="shared" si="0"/>
        <v>14000</v>
      </c>
    </row>
    <row r="15" spans="1:7" x14ac:dyDescent="0.25">
      <c r="A15" s="25">
        <f t="shared" si="1"/>
        <v>5</v>
      </c>
      <c r="C15" s="25">
        <f t="shared" si="2"/>
        <v>14000</v>
      </c>
      <c r="D15" s="25">
        <f t="shared" si="3"/>
        <v>70000</v>
      </c>
      <c r="E15" s="25">
        <f t="shared" si="0"/>
        <v>0</v>
      </c>
    </row>
    <row r="19" spans="1:7" x14ac:dyDescent="0.25">
      <c r="B19" s="25" t="s">
        <v>348</v>
      </c>
      <c r="C19" s="25" t="s">
        <v>349</v>
      </c>
      <c r="D19" s="25" t="s">
        <v>350</v>
      </c>
      <c r="F19" s="25">
        <v>14000</v>
      </c>
      <c r="G19" s="25">
        <v>14000</v>
      </c>
    </row>
    <row r="21" spans="1:7" x14ac:dyDescent="0.25">
      <c r="B21" s="25" t="s">
        <v>353</v>
      </c>
      <c r="C21" s="25" t="s">
        <v>349</v>
      </c>
      <c r="D21" s="25" t="s">
        <v>354</v>
      </c>
      <c r="F21" s="25">
        <v>2000</v>
      </c>
      <c r="G21" s="25">
        <v>2000</v>
      </c>
    </row>
    <row r="25" spans="1:7" x14ac:dyDescent="0.25">
      <c r="B25" s="25" t="s">
        <v>344</v>
      </c>
      <c r="C25" s="25">
        <v>5</v>
      </c>
    </row>
    <row r="26" spans="1:7" x14ac:dyDescent="0.25">
      <c r="C26" s="25" t="s">
        <v>345</v>
      </c>
      <c r="D26" s="25" t="s">
        <v>346</v>
      </c>
      <c r="E26" s="25" t="s">
        <v>356</v>
      </c>
      <c r="F26" s="25" t="s">
        <v>355</v>
      </c>
      <c r="G26" s="25" t="s">
        <v>347</v>
      </c>
    </row>
    <row r="27" spans="1:7" x14ac:dyDescent="0.25">
      <c r="A27" s="25">
        <v>1</v>
      </c>
      <c r="C27" s="25">
        <v>14000</v>
      </c>
      <c r="D27" s="25">
        <f>+C27</f>
        <v>14000</v>
      </c>
      <c r="G27" s="25">
        <f>+$C$5-D27</f>
        <v>56000</v>
      </c>
    </row>
    <row r="28" spans="1:7" x14ac:dyDescent="0.25">
      <c r="A28" s="25">
        <f>+A27+1</f>
        <v>2</v>
      </c>
      <c r="C28" s="64">
        <f>+C27</f>
        <v>14000</v>
      </c>
      <c r="D28" s="29">
        <f>+C28+D27</f>
        <v>28000</v>
      </c>
      <c r="E28" s="63">
        <v>2000</v>
      </c>
      <c r="F28" s="25">
        <v>2000</v>
      </c>
      <c r="G28" s="61">
        <f>+$C$5-D28-F28</f>
        <v>40000</v>
      </c>
    </row>
    <row r="29" spans="1:7" x14ac:dyDescent="0.25">
      <c r="A29" s="25">
        <f t="shared" ref="A29:A31" si="4">+A28+1</f>
        <v>3</v>
      </c>
      <c r="C29" s="25">
        <f>+G28/3</f>
        <v>13333.333333333334</v>
      </c>
      <c r="D29" s="25">
        <f t="shared" ref="D29:D31" si="5">+C29+D28</f>
        <v>41333.333333333336</v>
      </c>
      <c r="F29" s="25">
        <v>2000</v>
      </c>
      <c r="G29" s="25">
        <f>+G28-C29</f>
        <v>26666.666666666664</v>
      </c>
    </row>
    <row r="30" spans="1:7" x14ac:dyDescent="0.25">
      <c r="A30" s="25">
        <f t="shared" si="4"/>
        <v>4</v>
      </c>
      <c r="C30" s="25">
        <f t="shared" ref="C30:C31" si="6">+C29</f>
        <v>13333.333333333334</v>
      </c>
      <c r="D30" s="25">
        <f t="shared" si="5"/>
        <v>54666.666666666672</v>
      </c>
      <c r="F30" s="25">
        <v>2000</v>
      </c>
      <c r="G30" s="25">
        <f t="shared" ref="G30:G31" si="7">+G29-C30</f>
        <v>13333.33333333333</v>
      </c>
    </row>
    <row r="31" spans="1:7" x14ac:dyDescent="0.25">
      <c r="A31" s="25">
        <f t="shared" si="4"/>
        <v>5</v>
      </c>
      <c r="C31" s="25">
        <f t="shared" si="6"/>
        <v>13333.333333333334</v>
      </c>
      <c r="D31" s="25">
        <f t="shared" si="5"/>
        <v>68000</v>
      </c>
      <c r="F31" s="25">
        <v>2000</v>
      </c>
      <c r="G31" s="25">
        <f t="shared" si="7"/>
        <v>0</v>
      </c>
    </row>
    <row r="33" spans="1:7" x14ac:dyDescent="0.25">
      <c r="B33" s="25" t="s">
        <v>344</v>
      </c>
      <c r="C33" s="25">
        <v>5</v>
      </c>
    </row>
    <row r="34" spans="1:7" x14ac:dyDescent="0.25">
      <c r="C34" s="25" t="s">
        <v>345</v>
      </c>
      <c r="D34" s="25" t="s">
        <v>346</v>
      </c>
      <c r="E34" s="25" t="s">
        <v>356</v>
      </c>
      <c r="F34" s="25" t="s">
        <v>355</v>
      </c>
      <c r="G34" s="25" t="s">
        <v>347</v>
      </c>
    </row>
    <row r="35" spans="1:7" x14ac:dyDescent="0.25">
      <c r="A35" s="25">
        <v>1</v>
      </c>
      <c r="C35" s="25">
        <v>14000</v>
      </c>
      <c r="D35" s="25">
        <f>+C35</f>
        <v>14000</v>
      </c>
      <c r="G35" s="25">
        <f>+$C$5-D35-F35</f>
        <v>56000</v>
      </c>
    </row>
    <row r="36" spans="1:7" x14ac:dyDescent="0.25">
      <c r="A36" s="25">
        <f>+A35+1</f>
        <v>2</v>
      </c>
      <c r="C36" s="64">
        <f>+C35</f>
        <v>14000</v>
      </c>
      <c r="D36" s="29">
        <f>+C36+D35</f>
        <v>28000</v>
      </c>
      <c r="E36" s="63">
        <v>2000</v>
      </c>
      <c r="F36" s="25">
        <v>2000</v>
      </c>
      <c r="G36" s="25">
        <f t="shared" ref="G36:G39" si="8">+$C$5-D36-F36</f>
        <v>40000</v>
      </c>
    </row>
    <row r="37" spans="1:7" x14ac:dyDescent="0.25">
      <c r="A37" s="25">
        <f t="shared" ref="A37:A39" si="9">+A36+1</f>
        <v>3</v>
      </c>
      <c r="C37" s="25">
        <f>+C36</f>
        <v>14000</v>
      </c>
      <c r="D37" s="25">
        <f t="shared" ref="D37:D39" si="10">+C37+D36</f>
        <v>42000</v>
      </c>
      <c r="E37" s="25">
        <f>-E36/3</f>
        <v>-666.66666666666663</v>
      </c>
      <c r="F37" s="25">
        <f>+F36+E37</f>
        <v>1333.3333333333335</v>
      </c>
      <c r="G37" s="25">
        <f t="shared" si="8"/>
        <v>26666.666666666668</v>
      </c>
    </row>
    <row r="38" spans="1:7" x14ac:dyDescent="0.25">
      <c r="A38" s="25">
        <f t="shared" si="9"/>
        <v>4</v>
      </c>
      <c r="C38" s="25">
        <f t="shared" ref="C38:C39" si="11">+C37</f>
        <v>14000</v>
      </c>
      <c r="D38" s="25">
        <f t="shared" si="10"/>
        <v>56000</v>
      </c>
      <c r="E38" s="25">
        <f>+E37</f>
        <v>-666.66666666666663</v>
      </c>
      <c r="F38" s="25">
        <f t="shared" ref="F38:F39" si="12">+F37+E38</f>
        <v>666.66666666666686</v>
      </c>
      <c r="G38" s="25">
        <f t="shared" si="8"/>
        <v>13333.333333333334</v>
      </c>
    </row>
    <row r="39" spans="1:7" x14ac:dyDescent="0.25">
      <c r="A39" s="25">
        <f t="shared" si="9"/>
        <v>5</v>
      </c>
      <c r="C39" s="25">
        <f t="shared" si="11"/>
        <v>14000</v>
      </c>
      <c r="D39" s="25">
        <f t="shared" si="10"/>
        <v>70000</v>
      </c>
      <c r="E39" s="25">
        <f>+E38</f>
        <v>-666.66666666666663</v>
      </c>
      <c r="F39" s="25">
        <f t="shared" si="12"/>
        <v>0</v>
      </c>
      <c r="G39" s="25">
        <f t="shared" si="8"/>
        <v>0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E51A-A323-47C4-A1B5-A4270A6D5361}">
  <dimension ref="B3:E18"/>
  <sheetViews>
    <sheetView topLeftCell="A13" zoomScale="130" zoomScaleNormal="130" workbookViewId="0">
      <selection activeCell="C18" sqref="C18"/>
    </sheetView>
  </sheetViews>
  <sheetFormatPr defaultRowHeight="15" x14ac:dyDescent="0.25"/>
  <sheetData>
    <row r="3" spans="2:5" x14ac:dyDescent="0.25">
      <c r="B3" t="s">
        <v>357</v>
      </c>
      <c r="D3">
        <v>156</v>
      </c>
    </row>
    <row r="4" spans="2:5" x14ac:dyDescent="0.25">
      <c r="B4" t="s">
        <v>358</v>
      </c>
      <c r="D4">
        <v>132</v>
      </c>
    </row>
    <row r="5" spans="2:5" x14ac:dyDescent="0.25">
      <c r="D5" s="3">
        <f>+D4-D3</f>
        <v>-24</v>
      </c>
    </row>
    <row r="7" spans="2:5" x14ac:dyDescent="0.25">
      <c r="B7" t="s">
        <v>359</v>
      </c>
      <c r="D7">
        <v>43</v>
      </c>
    </row>
    <row r="8" spans="2:5" x14ac:dyDescent="0.25">
      <c r="B8" t="s">
        <v>360</v>
      </c>
      <c r="D8">
        <v>12</v>
      </c>
    </row>
    <row r="9" spans="2:5" x14ac:dyDescent="0.25">
      <c r="B9" t="s">
        <v>362</v>
      </c>
      <c r="D9" s="3">
        <f>-55+48</f>
        <v>-7</v>
      </c>
      <c r="E9">
        <f>+D7+D8</f>
        <v>55</v>
      </c>
    </row>
    <row r="10" spans="2:5" x14ac:dyDescent="0.25">
      <c r="B10" t="s">
        <v>361</v>
      </c>
      <c r="D10">
        <f>SUM(D7:D9)</f>
        <v>48</v>
      </c>
    </row>
    <row r="13" spans="2:5" x14ac:dyDescent="0.25">
      <c r="B13" t="s">
        <v>363</v>
      </c>
    </row>
    <row r="14" spans="2:5" x14ac:dyDescent="0.25">
      <c r="B14" t="s">
        <v>342</v>
      </c>
      <c r="C14">
        <v>24</v>
      </c>
    </row>
    <row r="15" spans="2:5" x14ac:dyDescent="0.25">
      <c r="B15" t="s">
        <v>364</v>
      </c>
      <c r="C15">
        <v>7</v>
      </c>
    </row>
    <row r="16" spans="2:5" x14ac:dyDescent="0.25">
      <c r="B16" t="s">
        <v>365</v>
      </c>
      <c r="C16">
        <f>+C14-C15</f>
        <v>17</v>
      </c>
    </row>
    <row r="17" spans="2:3" x14ac:dyDescent="0.25">
      <c r="B17" t="s">
        <v>366</v>
      </c>
      <c r="C17">
        <v>2</v>
      </c>
    </row>
    <row r="18" spans="2:3" x14ac:dyDescent="0.25">
      <c r="B18" t="s">
        <v>367</v>
      </c>
      <c r="C18">
        <f>+C17+C16</f>
        <v>19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61BD-CB58-4210-B179-C8C2A896E6EC}">
  <dimension ref="A3:O95"/>
  <sheetViews>
    <sheetView tabSelected="1" topLeftCell="A26" zoomScale="130" zoomScaleNormal="130" workbookViewId="0">
      <selection activeCell="H42" sqref="H42"/>
    </sheetView>
  </sheetViews>
  <sheetFormatPr defaultRowHeight="15" x14ac:dyDescent="0.25"/>
  <cols>
    <col min="4" max="4" width="10.28515625" customWidth="1"/>
  </cols>
  <sheetData>
    <row r="3" spans="1:2" x14ac:dyDescent="0.25">
      <c r="B3" s="15" t="s">
        <v>389</v>
      </c>
    </row>
    <row r="5" spans="1:2" x14ac:dyDescent="0.25">
      <c r="A5" t="s">
        <v>394</v>
      </c>
    </row>
    <row r="7" spans="1:2" x14ac:dyDescent="0.25">
      <c r="B7" t="s">
        <v>390</v>
      </c>
    </row>
    <row r="9" spans="1:2" x14ac:dyDescent="0.25">
      <c r="B9" t="s">
        <v>391</v>
      </c>
    </row>
    <row r="11" spans="1:2" x14ac:dyDescent="0.25">
      <c r="B11" t="s">
        <v>392</v>
      </c>
    </row>
    <row r="13" spans="1:2" x14ac:dyDescent="0.25">
      <c r="A13" t="s">
        <v>395</v>
      </c>
    </row>
    <row r="15" spans="1:2" x14ac:dyDescent="0.25">
      <c r="B15" t="s">
        <v>393</v>
      </c>
    </row>
    <row r="17" spans="1:11" x14ac:dyDescent="0.25">
      <c r="A17" t="s">
        <v>396</v>
      </c>
    </row>
    <row r="19" spans="1:11" x14ac:dyDescent="0.25">
      <c r="B19" t="s">
        <v>397</v>
      </c>
    </row>
    <row r="21" spans="1:11" x14ac:dyDescent="0.25">
      <c r="B21" t="s">
        <v>374</v>
      </c>
    </row>
    <row r="23" spans="1:11" x14ac:dyDescent="0.25">
      <c r="B23" t="s">
        <v>398</v>
      </c>
    </row>
    <row r="26" spans="1:11" x14ac:dyDescent="0.25">
      <c r="A26" s="67" t="s">
        <v>399</v>
      </c>
      <c r="B26" s="43"/>
      <c r="C26" s="43"/>
      <c r="D26" s="43"/>
      <c r="E26" s="43"/>
      <c r="G26" s="68" t="s">
        <v>406</v>
      </c>
      <c r="H26" s="3"/>
      <c r="I26" s="3"/>
      <c r="J26" s="3"/>
      <c r="K26" s="3"/>
    </row>
    <row r="27" spans="1:11" x14ac:dyDescent="0.25">
      <c r="A27" s="43"/>
      <c r="B27" s="43"/>
      <c r="C27" s="43"/>
      <c r="D27" s="43"/>
      <c r="E27" s="43"/>
      <c r="G27" s="3"/>
      <c r="H27" s="3"/>
      <c r="I27" s="3"/>
      <c r="J27" s="3"/>
      <c r="K27" s="3"/>
    </row>
    <row r="28" spans="1:11" x14ac:dyDescent="0.25">
      <c r="A28" s="43"/>
      <c r="B28" s="43"/>
      <c r="C28" s="43"/>
      <c r="D28" s="43"/>
      <c r="E28" s="43"/>
      <c r="G28" s="3"/>
      <c r="H28" s="3"/>
      <c r="I28" s="3"/>
      <c r="J28" s="3"/>
      <c r="K28" s="3"/>
    </row>
    <row r="29" spans="1:11" x14ac:dyDescent="0.25">
      <c r="A29" s="43" t="s">
        <v>400</v>
      </c>
      <c r="B29" s="43"/>
      <c r="C29" s="43"/>
      <c r="D29" s="43"/>
      <c r="E29" s="43"/>
      <c r="G29" s="3" t="s">
        <v>400</v>
      </c>
      <c r="H29" s="3"/>
      <c r="I29" s="3"/>
      <c r="J29" s="3"/>
      <c r="K29" s="3"/>
    </row>
    <row r="30" spans="1:11" x14ac:dyDescent="0.25">
      <c r="A30" s="43"/>
      <c r="B30" s="43" t="s">
        <v>23</v>
      </c>
      <c r="C30" s="43"/>
      <c r="D30" s="43"/>
      <c r="E30" s="43"/>
      <c r="G30" s="3"/>
      <c r="H30" s="69" t="s">
        <v>23</v>
      </c>
      <c r="I30" s="3"/>
      <c r="J30" s="3"/>
      <c r="K30" s="3"/>
    </row>
    <row r="31" spans="1:11" x14ac:dyDescent="0.25">
      <c r="A31" s="43"/>
      <c r="B31" s="43" t="s">
        <v>401</v>
      </c>
      <c r="C31" s="43"/>
      <c r="D31" s="43"/>
      <c r="E31" s="43"/>
      <c r="G31" s="3"/>
      <c r="H31" s="69" t="s">
        <v>401</v>
      </c>
      <c r="I31" s="3"/>
      <c r="J31" s="3"/>
      <c r="K31" s="3"/>
    </row>
    <row r="32" spans="1:11" x14ac:dyDescent="0.25">
      <c r="A32" s="43"/>
      <c r="B32" s="43"/>
      <c r="C32" s="43"/>
      <c r="D32" s="43"/>
      <c r="E32" s="43"/>
      <c r="G32" s="3"/>
      <c r="H32" s="35" t="s">
        <v>407</v>
      </c>
      <c r="I32" s="3"/>
      <c r="J32" s="3"/>
      <c r="K32" s="3"/>
    </row>
    <row r="33" spans="1:11" x14ac:dyDescent="0.25">
      <c r="A33" s="43" t="s">
        <v>402</v>
      </c>
      <c r="B33" s="43"/>
      <c r="C33" s="43"/>
      <c r="D33" s="43"/>
      <c r="E33" s="43"/>
      <c r="G33" s="3" t="s">
        <v>402</v>
      </c>
      <c r="H33" s="3"/>
      <c r="I33" s="3"/>
      <c r="J33" s="3"/>
      <c r="K33" s="3"/>
    </row>
    <row r="34" spans="1:11" x14ac:dyDescent="0.25">
      <c r="A34" s="43"/>
      <c r="B34" s="43"/>
      <c r="C34" s="43"/>
      <c r="D34" s="43"/>
      <c r="E34" s="43"/>
      <c r="G34" s="3"/>
      <c r="H34" s="3"/>
      <c r="I34" s="3"/>
      <c r="J34" s="3"/>
      <c r="K34" s="3"/>
    </row>
    <row r="35" spans="1:11" x14ac:dyDescent="0.25">
      <c r="A35" s="43"/>
      <c r="B35" s="43" t="s">
        <v>403</v>
      </c>
      <c r="C35" s="43"/>
      <c r="D35" s="43"/>
      <c r="E35" s="43"/>
      <c r="G35" s="3"/>
      <c r="H35" s="3" t="s">
        <v>403</v>
      </c>
      <c r="I35" s="3"/>
      <c r="J35" s="3"/>
      <c r="K35" s="3"/>
    </row>
    <row r="36" spans="1:11" x14ac:dyDescent="0.25">
      <c r="A36" s="43"/>
      <c r="B36" s="43" t="s">
        <v>404</v>
      </c>
      <c r="C36" s="43"/>
      <c r="D36" s="43"/>
      <c r="E36" s="43"/>
      <c r="G36" s="3"/>
      <c r="H36" s="3" t="s">
        <v>404</v>
      </c>
      <c r="I36" s="3"/>
      <c r="J36" s="3"/>
      <c r="K36" s="3"/>
    </row>
    <row r="37" spans="1:11" x14ac:dyDescent="0.25">
      <c r="A37" s="43"/>
      <c r="B37" s="43"/>
      <c r="C37" s="43"/>
      <c r="D37" s="43"/>
      <c r="E37" s="43"/>
      <c r="G37" s="3"/>
      <c r="H37" s="3"/>
      <c r="I37" s="3"/>
      <c r="J37" s="3"/>
      <c r="K37" s="3"/>
    </row>
    <row r="38" spans="1:11" x14ac:dyDescent="0.25">
      <c r="A38" s="43"/>
      <c r="B38" s="43" t="s">
        <v>405</v>
      </c>
      <c r="C38" s="43"/>
      <c r="D38" s="43" t="s">
        <v>23</v>
      </c>
      <c r="E38" s="43"/>
      <c r="G38" s="3"/>
      <c r="H38" s="3" t="s">
        <v>405</v>
      </c>
      <c r="I38" s="3"/>
      <c r="J38" s="3" t="s">
        <v>23</v>
      </c>
      <c r="K38" s="3"/>
    </row>
    <row r="39" spans="1:11" x14ac:dyDescent="0.25">
      <c r="A39" s="43"/>
      <c r="B39" s="43"/>
      <c r="C39" s="43"/>
      <c r="D39" s="43" t="s">
        <v>398</v>
      </c>
      <c r="E39" s="43"/>
      <c r="G39" s="3"/>
      <c r="H39" s="3"/>
      <c r="I39" s="3"/>
      <c r="J39" s="3" t="s">
        <v>398</v>
      </c>
      <c r="K39" s="3"/>
    </row>
    <row r="40" spans="1:11" x14ac:dyDescent="0.25">
      <c r="A40" s="43"/>
      <c r="B40" s="43" t="s">
        <v>404</v>
      </c>
      <c r="C40" s="43"/>
      <c r="D40" s="43"/>
      <c r="E40" s="43"/>
      <c r="G40" s="3"/>
      <c r="H40" s="3" t="s">
        <v>404</v>
      </c>
      <c r="I40" s="3"/>
      <c r="J40" s="3"/>
      <c r="K40" s="3"/>
    </row>
    <row r="41" spans="1:11" x14ac:dyDescent="0.25">
      <c r="A41" s="43"/>
      <c r="B41" s="43"/>
      <c r="C41" s="43"/>
      <c r="D41" s="43"/>
      <c r="E41" s="43"/>
      <c r="G41" s="3"/>
      <c r="H41" s="3"/>
      <c r="I41" s="3"/>
      <c r="J41" s="3"/>
      <c r="K41" s="3"/>
    </row>
    <row r="42" spans="1:11" x14ac:dyDescent="0.25">
      <c r="H42" s="35" t="s">
        <v>408</v>
      </c>
    </row>
    <row r="48" spans="1:11" x14ac:dyDescent="0.25">
      <c r="B48" s="2" t="s">
        <v>409</v>
      </c>
      <c r="G48" t="s">
        <v>0</v>
      </c>
    </row>
    <row r="50" spans="2:4" x14ac:dyDescent="0.25">
      <c r="B50" t="s">
        <v>230</v>
      </c>
      <c r="C50" t="s">
        <v>349</v>
      </c>
      <c r="D50" t="s">
        <v>410</v>
      </c>
    </row>
    <row r="53" spans="2:4" x14ac:dyDescent="0.25">
      <c r="B53" s="2" t="s">
        <v>422</v>
      </c>
    </row>
    <row r="55" spans="2:4" x14ac:dyDescent="0.25">
      <c r="B55" t="s">
        <v>410</v>
      </c>
      <c r="C55" t="s">
        <v>349</v>
      </c>
      <c r="D55" t="s">
        <v>413</v>
      </c>
    </row>
    <row r="57" spans="2:4" x14ac:dyDescent="0.25">
      <c r="B57" s="2" t="s">
        <v>423</v>
      </c>
    </row>
    <row r="59" spans="2:4" x14ac:dyDescent="0.25">
      <c r="B59" t="s">
        <v>410</v>
      </c>
      <c r="C59" t="s">
        <v>349</v>
      </c>
      <c r="D59" t="s">
        <v>424</v>
      </c>
    </row>
    <row r="63" spans="2:4" x14ac:dyDescent="0.25">
      <c r="B63" t="s">
        <v>414</v>
      </c>
    </row>
    <row r="66" spans="1:15" x14ac:dyDescent="0.25">
      <c r="B66" t="s">
        <v>425</v>
      </c>
      <c r="G66" s="11" t="s">
        <v>415</v>
      </c>
      <c r="H66" s="11"/>
      <c r="K66" s="3"/>
      <c r="L66" s="73" t="s">
        <v>430</v>
      </c>
      <c r="M66" s="73"/>
      <c r="N66" s="3"/>
      <c r="O66" s="3"/>
    </row>
    <row r="67" spans="1:15" x14ac:dyDescent="0.25">
      <c r="F67" t="s">
        <v>416</v>
      </c>
      <c r="G67">
        <v>300</v>
      </c>
      <c r="H67" s="4" t="s">
        <v>412</v>
      </c>
      <c r="I67">
        <v>200</v>
      </c>
      <c r="K67" s="3" t="s">
        <v>411</v>
      </c>
      <c r="L67" s="3">
        <v>330</v>
      </c>
      <c r="M67" s="74" t="s">
        <v>412</v>
      </c>
      <c r="N67" s="3">
        <v>200</v>
      </c>
      <c r="O67" s="3"/>
    </row>
    <row r="68" spans="1:15" x14ac:dyDescent="0.25">
      <c r="H68" s="7"/>
      <c r="I68" s="1"/>
      <c r="K68" s="3" t="s">
        <v>433</v>
      </c>
      <c r="L68" s="3">
        <v>30</v>
      </c>
      <c r="M68" s="53" t="s">
        <v>432</v>
      </c>
      <c r="N68" s="35">
        <v>10</v>
      </c>
      <c r="O68" s="3"/>
    </row>
    <row r="69" spans="1:15" x14ac:dyDescent="0.25">
      <c r="B69" s="11" t="s">
        <v>417</v>
      </c>
      <c r="C69" s="11"/>
      <c r="D69" t="s">
        <v>419</v>
      </c>
      <c r="H69" s="7"/>
      <c r="I69" s="1"/>
      <c r="K69" s="3"/>
      <c r="L69" s="3"/>
      <c r="M69" s="53"/>
      <c r="N69" s="35"/>
      <c r="O69" s="3"/>
    </row>
    <row r="70" spans="1:15" x14ac:dyDescent="0.25">
      <c r="A70" t="s">
        <v>418</v>
      </c>
      <c r="B70" s="1">
        <v>60</v>
      </c>
      <c r="C70" s="4"/>
      <c r="D70" s="71"/>
      <c r="E70" s="72"/>
      <c r="H70" s="7" t="s">
        <v>330</v>
      </c>
      <c r="I70" s="70">
        <v>100</v>
      </c>
      <c r="K70" s="3"/>
      <c r="L70" s="3"/>
      <c r="M70" s="53" t="s">
        <v>431</v>
      </c>
      <c r="N70" s="75">
        <f>+L67+L68+L69-N67-N68</f>
        <v>150</v>
      </c>
      <c r="O70" s="3">
        <f>+N70*0.6</f>
        <v>90</v>
      </c>
    </row>
    <row r="71" spans="1:15" x14ac:dyDescent="0.25">
      <c r="C71" s="7"/>
      <c r="E71" s="7"/>
      <c r="H71" s="7"/>
      <c r="M71" s="7"/>
    </row>
    <row r="72" spans="1:15" x14ac:dyDescent="0.25">
      <c r="B72" s="1"/>
      <c r="C72" s="7"/>
      <c r="E72" s="7"/>
    </row>
    <row r="73" spans="1:15" x14ac:dyDescent="0.25">
      <c r="C73" s="7"/>
      <c r="E73" s="7"/>
    </row>
    <row r="74" spans="1:15" x14ac:dyDescent="0.25">
      <c r="C74" s="7"/>
      <c r="E74" s="7"/>
    </row>
    <row r="76" spans="1:15" x14ac:dyDescent="0.25">
      <c r="B76" t="s">
        <v>420</v>
      </c>
    </row>
    <row r="78" spans="1:15" x14ac:dyDescent="0.25">
      <c r="B78" t="s">
        <v>421</v>
      </c>
    </row>
    <row r="82" spans="2:8" x14ac:dyDescent="0.25">
      <c r="B82" t="s">
        <v>426</v>
      </c>
      <c r="E82" s="1">
        <v>90</v>
      </c>
    </row>
    <row r="84" spans="2:8" x14ac:dyDescent="0.25">
      <c r="B84" t="s">
        <v>427</v>
      </c>
      <c r="D84" s="18" t="s">
        <v>428</v>
      </c>
      <c r="E84">
        <v>60</v>
      </c>
    </row>
    <row r="86" spans="2:8" x14ac:dyDescent="0.25">
      <c r="B86" t="s">
        <v>429</v>
      </c>
      <c r="E86">
        <v>30</v>
      </c>
    </row>
    <row r="88" spans="2:8" x14ac:dyDescent="0.25">
      <c r="B88" s="2" t="s">
        <v>434</v>
      </c>
    </row>
    <row r="89" spans="2:8" x14ac:dyDescent="0.25">
      <c r="E89" s="21">
        <v>1</v>
      </c>
      <c r="F89" s="21">
        <v>0.6</v>
      </c>
      <c r="H89" t="s">
        <v>439</v>
      </c>
    </row>
    <row r="90" spans="2:8" x14ac:dyDescent="0.25">
      <c r="B90" t="s">
        <v>435</v>
      </c>
    </row>
    <row r="91" spans="2:8" x14ac:dyDescent="0.25">
      <c r="C91" t="s">
        <v>398</v>
      </c>
      <c r="E91">
        <v>100</v>
      </c>
      <c r="F91" s="3">
        <f>+E91*F89</f>
        <v>60</v>
      </c>
      <c r="H91" t="s">
        <v>440</v>
      </c>
    </row>
    <row r="92" spans="2:8" x14ac:dyDescent="0.25">
      <c r="C92" t="s">
        <v>436</v>
      </c>
      <c r="E92">
        <v>30</v>
      </c>
      <c r="F92" s="76">
        <f>+E92*F89</f>
        <v>18</v>
      </c>
      <c r="H92" t="s">
        <v>441</v>
      </c>
    </row>
    <row r="93" spans="2:8" x14ac:dyDescent="0.25">
      <c r="C93" t="s">
        <v>437</v>
      </c>
      <c r="E93">
        <v>-10</v>
      </c>
      <c r="F93" s="76">
        <f>+E93*F89</f>
        <v>-6</v>
      </c>
      <c r="H93" t="s">
        <v>442</v>
      </c>
    </row>
    <row r="94" spans="2:8" x14ac:dyDescent="0.25">
      <c r="F94" s="5">
        <f>SUM(F91:F93)</f>
        <v>72</v>
      </c>
    </row>
    <row r="95" spans="2:8" x14ac:dyDescent="0.25">
      <c r="C95" t="s">
        <v>438</v>
      </c>
      <c r="F95" s="76">
        <f>90-F94</f>
        <v>18</v>
      </c>
      <c r="H95" t="s">
        <v>443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B0988-E48D-4DA9-89DB-1B33FC52DCC3}">
  <dimension ref="A3:K62"/>
  <sheetViews>
    <sheetView topLeftCell="A43" zoomScale="120" zoomScaleNormal="120" workbookViewId="0">
      <selection activeCell="E54" sqref="E54"/>
    </sheetView>
  </sheetViews>
  <sheetFormatPr defaultRowHeight="15" x14ac:dyDescent="0.25"/>
  <cols>
    <col min="1" max="3" width="9.140625" style="25"/>
    <col min="4" max="4" width="16.42578125" style="25" customWidth="1"/>
    <col min="5" max="6" width="12.7109375" style="25" bestFit="1" customWidth="1"/>
    <col min="7" max="16384" width="9.140625" style="25"/>
  </cols>
  <sheetData>
    <row r="3" spans="2:6" s="88" customFormat="1" ht="17.25" x14ac:dyDescent="0.4">
      <c r="B3" s="88" t="s">
        <v>434</v>
      </c>
    </row>
    <row r="4" spans="2:6" x14ac:dyDescent="0.25">
      <c r="E4" s="77">
        <v>1</v>
      </c>
      <c r="F4" s="78">
        <v>0.75</v>
      </c>
    </row>
    <row r="5" spans="2:6" x14ac:dyDescent="0.25">
      <c r="B5" s="25" t="s">
        <v>120</v>
      </c>
      <c r="C5" s="77"/>
      <c r="F5" s="25">
        <v>78500</v>
      </c>
    </row>
    <row r="7" spans="2:6" x14ac:dyDescent="0.25">
      <c r="B7" s="25" t="s">
        <v>85</v>
      </c>
      <c r="E7" s="25">
        <v>48000</v>
      </c>
      <c r="F7" s="25">
        <f>+E7*F4</f>
        <v>36000</v>
      </c>
    </row>
    <row r="9" spans="2:6" x14ac:dyDescent="0.25">
      <c r="B9" s="25" t="s">
        <v>444</v>
      </c>
      <c r="F9" s="25">
        <f>+F5-F7</f>
        <v>42500</v>
      </c>
    </row>
    <row r="11" spans="2:6" x14ac:dyDescent="0.25">
      <c r="B11" s="79" t="s">
        <v>445</v>
      </c>
      <c r="C11" s="80"/>
      <c r="D11" s="80" t="s">
        <v>446</v>
      </c>
      <c r="E11" s="80">
        <v>8000</v>
      </c>
      <c r="F11" s="81"/>
    </row>
    <row r="12" spans="2:6" x14ac:dyDescent="0.25">
      <c r="B12" s="82"/>
      <c r="C12" s="83"/>
      <c r="D12" s="83" t="s">
        <v>447</v>
      </c>
      <c r="E12" s="83">
        <f>-25%*E11</f>
        <v>-2000</v>
      </c>
      <c r="F12" s="84"/>
    </row>
    <row r="13" spans="2:6" x14ac:dyDescent="0.25">
      <c r="B13" s="82"/>
      <c r="C13" s="83"/>
      <c r="D13" s="83"/>
      <c r="E13" s="83">
        <f>+E11+E12</f>
        <v>6000</v>
      </c>
      <c r="F13" s="84">
        <f>+E13*F4</f>
        <v>4500</v>
      </c>
    </row>
    <row r="14" spans="2:6" x14ac:dyDescent="0.25">
      <c r="B14" s="82"/>
      <c r="C14" s="83"/>
      <c r="D14" s="83"/>
      <c r="E14" s="83"/>
      <c r="F14" s="84"/>
    </row>
    <row r="15" spans="2:6" x14ac:dyDescent="0.25">
      <c r="B15" s="82"/>
      <c r="C15" s="83"/>
      <c r="D15" s="83" t="s">
        <v>448</v>
      </c>
      <c r="E15" s="83">
        <v>10000</v>
      </c>
      <c r="F15" s="84"/>
    </row>
    <row r="16" spans="2:6" x14ac:dyDescent="0.25">
      <c r="B16" s="82"/>
      <c r="C16" s="83"/>
      <c r="D16" s="83" t="s">
        <v>447</v>
      </c>
      <c r="E16" s="83">
        <f>-25%*E15</f>
        <v>-2500</v>
      </c>
      <c r="F16" s="84"/>
    </row>
    <row r="17" spans="2:6" x14ac:dyDescent="0.25">
      <c r="B17" s="82"/>
      <c r="C17" s="83"/>
      <c r="D17" s="83"/>
      <c r="E17" s="83">
        <f>+E15+E16</f>
        <v>7500</v>
      </c>
      <c r="F17" s="84">
        <f>+E17*$F$4</f>
        <v>5625</v>
      </c>
    </row>
    <row r="18" spans="2:6" x14ac:dyDescent="0.25">
      <c r="B18" s="82"/>
      <c r="C18" s="83"/>
      <c r="D18" s="83"/>
      <c r="E18" s="83"/>
      <c r="F18" s="84"/>
    </row>
    <row r="19" spans="2:6" x14ac:dyDescent="0.25">
      <c r="B19" s="82"/>
      <c r="C19" s="83"/>
      <c r="D19" s="83" t="s">
        <v>449</v>
      </c>
      <c r="E19" s="83">
        <v>10000</v>
      </c>
      <c r="F19" s="84"/>
    </row>
    <row r="20" spans="2:6" x14ac:dyDescent="0.25">
      <c r="B20" s="82"/>
      <c r="C20" s="83"/>
      <c r="D20" s="83" t="s">
        <v>447</v>
      </c>
      <c r="E20" s="83">
        <f>-25%*E19</f>
        <v>-2500</v>
      </c>
      <c r="F20" s="84"/>
    </row>
    <row r="21" spans="2:6" x14ac:dyDescent="0.25">
      <c r="B21" s="82"/>
      <c r="C21" s="83"/>
      <c r="D21" s="83"/>
      <c r="E21" s="83">
        <f>+E19+E20</f>
        <v>7500</v>
      </c>
      <c r="F21" s="84">
        <f>+E21*$F$4</f>
        <v>5625</v>
      </c>
    </row>
    <row r="22" spans="2:6" x14ac:dyDescent="0.25">
      <c r="B22" s="82"/>
      <c r="C22" s="83"/>
      <c r="D22" s="83"/>
      <c r="E22" s="83"/>
      <c r="F22" s="84"/>
    </row>
    <row r="23" spans="2:6" x14ac:dyDescent="0.25">
      <c r="B23" s="82"/>
      <c r="C23" s="83"/>
      <c r="D23" s="83" t="s">
        <v>450</v>
      </c>
      <c r="E23" s="83">
        <v>12000</v>
      </c>
      <c r="F23" s="84"/>
    </row>
    <row r="24" spans="2:6" x14ac:dyDescent="0.25">
      <c r="B24" s="82"/>
      <c r="C24" s="83"/>
      <c r="D24" s="83" t="s">
        <v>447</v>
      </c>
      <c r="E24" s="83">
        <f>-25%*E23</f>
        <v>-3000</v>
      </c>
      <c r="F24" s="84"/>
    </row>
    <row r="25" spans="2:6" x14ac:dyDescent="0.25">
      <c r="B25" s="82"/>
      <c r="C25" s="83"/>
      <c r="D25" s="83"/>
      <c r="E25" s="83">
        <f>+E23+E24</f>
        <v>9000</v>
      </c>
      <c r="F25" s="84">
        <f>+E25*$F$4</f>
        <v>6750</v>
      </c>
    </row>
    <row r="26" spans="2:6" x14ac:dyDescent="0.25">
      <c r="B26" s="82"/>
      <c r="C26" s="83"/>
      <c r="D26" s="83"/>
      <c r="E26" s="83"/>
      <c r="F26" s="84"/>
    </row>
    <row r="27" spans="2:6" x14ac:dyDescent="0.25">
      <c r="B27" s="85"/>
      <c r="C27" s="86" t="s">
        <v>451</v>
      </c>
      <c r="D27" s="86"/>
      <c r="E27" s="86"/>
      <c r="F27" s="87">
        <f>SUM(F11:F25)</f>
        <v>22500</v>
      </c>
    </row>
    <row r="29" spans="2:6" x14ac:dyDescent="0.25">
      <c r="C29" s="25" t="s">
        <v>433</v>
      </c>
      <c r="F29" s="25">
        <f>+F9-F27</f>
        <v>20000</v>
      </c>
    </row>
    <row r="34" spans="1:11" s="29" customFormat="1" ht="17.25" x14ac:dyDescent="0.4">
      <c r="B34" s="88" t="s">
        <v>452</v>
      </c>
    </row>
    <row r="36" spans="1:11" x14ac:dyDescent="0.25">
      <c r="A36" s="25" t="s">
        <v>453</v>
      </c>
      <c r="B36" s="25" t="s">
        <v>118</v>
      </c>
      <c r="F36" s="49">
        <f>+F5</f>
        <v>78500</v>
      </c>
      <c r="H36" s="25" t="s">
        <v>424</v>
      </c>
      <c r="J36" s="25" t="s">
        <v>349</v>
      </c>
      <c r="K36" s="25" t="s">
        <v>410</v>
      </c>
    </row>
    <row r="38" spans="1:11" x14ac:dyDescent="0.25">
      <c r="B38" s="25" t="s">
        <v>454</v>
      </c>
      <c r="E38" s="25">
        <v>8000</v>
      </c>
      <c r="F38" s="25">
        <f>-E38*0.75</f>
        <v>-6000</v>
      </c>
      <c r="H38" s="25" t="s">
        <v>410</v>
      </c>
      <c r="J38" s="25" t="s">
        <v>349</v>
      </c>
      <c r="K38" s="25" t="s">
        <v>424</v>
      </c>
    </row>
    <row r="40" spans="1:11" x14ac:dyDescent="0.25">
      <c r="B40" s="25" t="s">
        <v>455</v>
      </c>
      <c r="E40" s="25">
        <v>15000</v>
      </c>
      <c r="F40" s="49">
        <f>+E40*0.75</f>
        <v>11250</v>
      </c>
      <c r="H40" s="25" t="s">
        <v>424</v>
      </c>
      <c r="J40" s="25" t="s">
        <v>349</v>
      </c>
      <c r="K40" s="25" t="s">
        <v>410</v>
      </c>
    </row>
    <row r="42" spans="1:11" x14ac:dyDescent="0.25">
      <c r="A42" s="25" t="s">
        <v>456</v>
      </c>
      <c r="B42" s="25" t="s">
        <v>457</v>
      </c>
    </row>
    <row r="44" spans="1:11" x14ac:dyDescent="0.25">
      <c r="B44" s="79" t="s">
        <v>458</v>
      </c>
      <c r="C44" s="80"/>
      <c r="D44" s="80"/>
      <c r="E44" s="80">
        <v>5000</v>
      </c>
      <c r="F44" s="81">
        <f>+E44*0.75</f>
        <v>3750</v>
      </c>
    </row>
    <row r="45" spans="1:11" x14ac:dyDescent="0.25">
      <c r="B45" s="82"/>
      <c r="C45" s="83"/>
      <c r="D45" s="83"/>
      <c r="E45" s="83"/>
      <c r="F45" s="84"/>
    </row>
    <row r="46" spans="1:11" ht="17.25" x14ac:dyDescent="0.4">
      <c r="B46" s="89" t="s">
        <v>459</v>
      </c>
      <c r="C46" s="83"/>
      <c r="D46" s="83"/>
      <c r="E46" s="83"/>
      <c r="F46" s="84"/>
    </row>
    <row r="47" spans="1:11" x14ac:dyDescent="0.25">
      <c r="B47" s="82"/>
      <c r="C47" s="83"/>
      <c r="D47" s="83"/>
      <c r="E47" s="83"/>
      <c r="F47" s="84"/>
    </row>
    <row r="48" spans="1:11" x14ac:dyDescent="0.25">
      <c r="B48" s="82"/>
      <c r="C48" s="83"/>
      <c r="D48" s="83" t="s">
        <v>446</v>
      </c>
      <c r="E48" s="83"/>
      <c r="F48" s="84">
        <f>-F13</f>
        <v>-4500</v>
      </c>
    </row>
    <row r="49" spans="1:11" x14ac:dyDescent="0.25">
      <c r="B49" s="82"/>
      <c r="C49" s="83"/>
      <c r="D49" s="83" t="s">
        <v>448</v>
      </c>
      <c r="E49" s="83"/>
      <c r="F49" s="84">
        <f>-F17/10</f>
        <v>-562.5</v>
      </c>
      <c r="G49" s="25">
        <v>10</v>
      </c>
    </row>
    <row r="50" spans="1:11" x14ac:dyDescent="0.25">
      <c r="B50" s="82"/>
      <c r="C50" s="83"/>
      <c r="D50" s="83" t="s">
        <v>449</v>
      </c>
      <c r="E50" s="83"/>
      <c r="F50" s="84">
        <f>-F21/20</f>
        <v>-281.25</v>
      </c>
      <c r="G50" s="25">
        <v>20</v>
      </c>
    </row>
    <row r="51" spans="1:11" x14ac:dyDescent="0.25">
      <c r="B51" s="82"/>
      <c r="C51" s="83"/>
      <c r="D51" s="83" t="s">
        <v>450</v>
      </c>
      <c r="E51" s="83"/>
      <c r="F51" s="84">
        <f>-F25/5</f>
        <v>-1350</v>
      </c>
      <c r="G51" s="25">
        <v>5</v>
      </c>
    </row>
    <row r="52" spans="1:11" x14ac:dyDescent="0.25">
      <c r="B52" s="82"/>
      <c r="C52" s="83"/>
      <c r="D52" s="83" t="s">
        <v>460</v>
      </c>
      <c r="E52" s="83"/>
      <c r="F52" s="84">
        <f>-F29/5</f>
        <v>-4000</v>
      </c>
      <c r="G52" s="25">
        <v>5</v>
      </c>
    </row>
    <row r="53" spans="1:11" x14ac:dyDescent="0.25">
      <c r="B53" s="82"/>
      <c r="C53" s="83"/>
      <c r="D53" s="83"/>
      <c r="E53" s="83"/>
      <c r="F53" s="84"/>
    </row>
    <row r="54" spans="1:11" x14ac:dyDescent="0.25">
      <c r="B54" s="82" t="s">
        <v>465</v>
      </c>
      <c r="C54" s="83"/>
      <c r="D54" s="83"/>
      <c r="E54" s="83">
        <f>-2000*0.9</f>
        <v>-1800</v>
      </c>
      <c r="F54" s="84">
        <f>+E54*75%</f>
        <v>-1350</v>
      </c>
    </row>
    <row r="55" spans="1:11" x14ac:dyDescent="0.25">
      <c r="B55" s="82" t="s">
        <v>466</v>
      </c>
      <c r="C55" s="83"/>
      <c r="D55" s="83"/>
      <c r="E55" s="83">
        <f>-E54*0.25</f>
        <v>450</v>
      </c>
      <c r="F55" s="84">
        <f>+E55*75%</f>
        <v>337.5</v>
      </c>
    </row>
    <row r="56" spans="1:11" x14ac:dyDescent="0.25">
      <c r="B56" s="82"/>
      <c r="C56" s="83"/>
      <c r="D56" s="83"/>
      <c r="E56" s="83"/>
      <c r="F56" s="84"/>
    </row>
    <row r="57" spans="1:11" x14ac:dyDescent="0.25">
      <c r="B57" s="82"/>
      <c r="C57" s="83"/>
      <c r="D57" s="83"/>
      <c r="E57" s="83"/>
      <c r="F57" s="84"/>
    </row>
    <row r="58" spans="1:11" x14ac:dyDescent="0.25">
      <c r="B58" s="85" t="s">
        <v>461</v>
      </c>
      <c r="C58" s="86"/>
      <c r="D58" s="86"/>
      <c r="E58" s="86"/>
      <c r="F58" s="87">
        <f>SUM(F44:F57)</f>
        <v>-7956.25</v>
      </c>
      <c r="H58" s="25" t="s">
        <v>462</v>
      </c>
      <c r="J58" s="25" t="s">
        <v>349</v>
      </c>
      <c r="K58" s="25" t="s">
        <v>424</v>
      </c>
    </row>
    <row r="60" spans="1:11" x14ac:dyDescent="0.25">
      <c r="A60" s="25" t="s">
        <v>456</v>
      </c>
      <c r="B60" s="25" t="s">
        <v>463</v>
      </c>
      <c r="F60" s="25">
        <f>+F36+F38+F40+F58</f>
        <v>75793.75</v>
      </c>
    </row>
    <row r="62" spans="1:11" x14ac:dyDescent="0.25">
      <c r="B62" s="25" t="s">
        <v>464</v>
      </c>
      <c r="F62" s="49">
        <f>+F36+F40</f>
        <v>89750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AEFB-A74C-448C-B426-7A5FD63DD627}">
  <dimension ref="A3:I15"/>
  <sheetViews>
    <sheetView topLeftCell="A3" zoomScale="130" zoomScaleNormal="130" workbookViewId="0">
      <selection activeCell="F15" sqref="F15"/>
    </sheetView>
  </sheetViews>
  <sheetFormatPr defaultRowHeight="15" x14ac:dyDescent="0.25"/>
  <cols>
    <col min="1" max="16384" width="9.140625" style="17"/>
  </cols>
  <sheetData>
    <row r="3" spans="1:9" x14ac:dyDescent="0.25">
      <c r="A3" s="90">
        <v>1</v>
      </c>
    </row>
    <row r="4" spans="1:9" x14ac:dyDescent="0.25">
      <c r="C4" s="17" t="s">
        <v>467</v>
      </c>
      <c r="E4" s="17" t="s">
        <v>468</v>
      </c>
    </row>
    <row r="6" spans="1:9" x14ac:dyDescent="0.25">
      <c r="B6" s="17">
        <v>100</v>
      </c>
      <c r="D6" s="17">
        <v>110</v>
      </c>
      <c r="F6" s="91" t="s">
        <v>469</v>
      </c>
      <c r="I6" s="17" t="s">
        <v>470</v>
      </c>
    </row>
    <row r="7" spans="1:9" x14ac:dyDescent="0.25">
      <c r="C7" s="17">
        <v>10</v>
      </c>
      <c r="E7" s="17">
        <v>-5</v>
      </c>
      <c r="F7" s="17">
        <v>105</v>
      </c>
    </row>
    <row r="11" spans="1:9" x14ac:dyDescent="0.25">
      <c r="A11" s="90">
        <v>2</v>
      </c>
    </row>
    <row r="12" spans="1:9" x14ac:dyDescent="0.25">
      <c r="C12" s="17" t="s">
        <v>467</v>
      </c>
      <c r="E12" s="17" t="s">
        <v>468</v>
      </c>
    </row>
    <row r="14" spans="1:9" x14ac:dyDescent="0.25">
      <c r="B14" s="17">
        <v>100</v>
      </c>
      <c r="D14" s="17">
        <v>110</v>
      </c>
      <c r="F14" s="91" t="s">
        <v>471</v>
      </c>
      <c r="I14" s="17" t="s">
        <v>472</v>
      </c>
    </row>
    <row r="15" spans="1:9" x14ac:dyDescent="0.25">
      <c r="C15" s="17">
        <v>10</v>
      </c>
      <c r="E15" s="17">
        <v>-5</v>
      </c>
      <c r="F15" s="17">
        <v>105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E57E-6149-4C4A-895D-39133DEB2B5D}">
  <dimension ref="A3:L52"/>
  <sheetViews>
    <sheetView zoomScale="140" zoomScaleNormal="140" workbookViewId="0">
      <selection activeCell="G48" sqref="G48"/>
    </sheetView>
  </sheetViews>
  <sheetFormatPr defaultRowHeight="15" x14ac:dyDescent="0.25"/>
  <cols>
    <col min="1" max="2" width="9.140625" style="25"/>
    <col min="3" max="3" width="11.28515625" style="25" customWidth="1"/>
    <col min="4" max="4" width="12.7109375" style="25" bestFit="1" customWidth="1"/>
    <col min="5" max="5" width="9.140625" style="25"/>
    <col min="6" max="7" width="12.7109375" style="25" bestFit="1" customWidth="1"/>
    <col min="8" max="16384" width="9.140625" style="25"/>
  </cols>
  <sheetData>
    <row r="3" spans="2:7" s="29" customFormat="1" x14ac:dyDescent="0.25">
      <c r="B3" s="29" t="s">
        <v>434</v>
      </c>
    </row>
    <row r="4" spans="2:7" x14ac:dyDescent="0.25">
      <c r="F4" s="78">
        <v>1</v>
      </c>
      <c r="G4" s="78">
        <v>0.8</v>
      </c>
    </row>
    <row r="5" spans="2:7" x14ac:dyDescent="0.25">
      <c r="B5" s="25" t="s">
        <v>120</v>
      </c>
      <c r="G5" s="25">
        <v>19852</v>
      </c>
    </row>
    <row r="6" spans="2:7" x14ac:dyDescent="0.25">
      <c r="B6" s="25" t="s">
        <v>473</v>
      </c>
      <c r="F6" s="25">
        <f>10000+6340+1700</f>
        <v>18040</v>
      </c>
      <c r="G6" s="25">
        <f>+F6*G4</f>
        <v>14432</v>
      </c>
    </row>
    <row r="7" spans="2:7" x14ac:dyDescent="0.25">
      <c r="B7" s="25" t="s">
        <v>429</v>
      </c>
      <c r="G7" s="29">
        <f>+G5-G6</f>
        <v>5420</v>
      </c>
    </row>
    <row r="9" spans="2:7" x14ac:dyDescent="0.25">
      <c r="B9" s="25" t="s">
        <v>474</v>
      </c>
    </row>
    <row r="10" spans="2:7" x14ac:dyDescent="0.25">
      <c r="B10" s="25" t="s">
        <v>475</v>
      </c>
      <c r="D10" s="25">
        <v>22460</v>
      </c>
    </row>
    <row r="11" spans="2:7" x14ac:dyDescent="0.25">
      <c r="D11" s="25">
        <v>19560</v>
      </c>
    </row>
    <row r="12" spans="2:7" x14ac:dyDescent="0.25">
      <c r="C12" s="25" t="s">
        <v>476</v>
      </c>
      <c r="D12" s="25">
        <f>+D10-D11</f>
        <v>2900</v>
      </c>
    </row>
    <row r="13" spans="2:7" x14ac:dyDescent="0.25">
      <c r="C13" s="25" t="s">
        <v>447</v>
      </c>
      <c r="D13" s="25">
        <f>-D12*0.25</f>
        <v>-725</v>
      </c>
    </row>
    <row r="14" spans="2:7" x14ac:dyDescent="0.25">
      <c r="C14" s="25" t="s">
        <v>477</v>
      </c>
      <c r="D14" s="25">
        <f>+D13+D12</f>
        <v>2175</v>
      </c>
      <c r="F14" s="25">
        <f>+D14</f>
        <v>2175</v>
      </c>
      <c r="G14" s="25">
        <f>+F14*G4</f>
        <v>1740</v>
      </c>
    </row>
    <row r="16" spans="2:7" x14ac:dyDescent="0.25">
      <c r="B16" s="25" t="s">
        <v>450</v>
      </c>
      <c r="D16" s="25">
        <v>2000</v>
      </c>
    </row>
    <row r="17" spans="1:12" x14ac:dyDescent="0.25">
      <c r="D17" s="25">
        <v>0</v>
      </c>
    </row>
    <row r="18" spans="1:12" x14ac:dyDescent="0.25">
      <c r="C18" s="25" t="s">
        <v>476</v>
      </c>
      <c r="D18" s="25">
        <f>+D16-D17</f>
        <v>2000</v>
      </c>
    </row>
    <row r="19" spans="1:12" x14ac:dyDescent="0.25">
      <c r="C19" s="25" t="s">
        <v>447</v>
      </c>
      <c r="D19" s="25">
        <f>-D18*0.25</f>
        <v>-500</v>
      </c>
    </row>
    <row r="20" spans="1:12" x14ac:dyDescent="0.25">
      <c r="C20" s="25" t="s">
        <v>477</v>
      </c>
      <c r="D20" s="25">
        <f>+D19+D18</f>
        <v>1500</v>
      </c>
      <c r="F20" s="25">
        <f>+D20</f>
        <v>1500</v>
      </c>
      <c r="G20" s="25">
        <f>+F20*$G$4</f>
        <v>1200</v>
      </c>
    </row>
    <row r="22" spans="1:12" x14ac:dyDescent="0.25">
      <c r="B22" s="25" t="s">
        <v>478</v>
      </c>
      <c r="G22" s="29">
        <f>+G20+G14</f>
        <v>2940</v>
      </c>
    </row>
    <row r="24" spans="1:12" x14ac:dyDescent="0.25">
      <c r="B24" s="25" t="s">
        <v>433</v>
      </c>
      <c r="G24" s="29">
        <f>+G7-G22</f>
        <v>2480</v>
      </c>
    </row>
    <row r="28" spans="1:12" x14ac:dyDescent="0.25">
      <c r="B28" s="29" t="s">
        <v>487</v>
      </c>
    </row>
    <row r="30" spans="1:12" x14ac:dyDescent="0.25">
      <c r="A30" s="25" t="s">
        <v>453</v>
      </c>
      <c r="B30" s="25" t="s">
        <v>479</v>
      </c>
      <c r="G30" s="29">
        <f>+G5</f>
        <v>19852</v>
      </c>
      <c r="I30" s="25" t="s">
        <v>424</v>
      </c>
      <c r="K30" s="25" t="s">
        <v>349</v>
      </c>
      <c r="L30" s="25" t="s">
        <v>410</v>
      </c>
    </row>
    <row r="31" spans="1:12" x14ac:dyDescent="0.25">
      <c r="G31" s="29"/>
    </row>
    <row r="32" spans="1:12" x14ac:dyDescent="0.25">
      <c r="A32" s="25" t="s">
        <v>480</v>
      </c>
      <c r="B32" s="25" t="s">
        <v>455</v>
      </c>
      <c r="F32" s="25">
        <v>2000</v>
      </c>
      <c r="G32" s="29">
        <f>+F32*0.8</f>
        <v>1600</v>
      </c>
      <c r="I32" s="25" t="s">
        <v>424</v>
      </c>
      <c r="K32" s="25" t="s">
        <v>349</v>
      </c>
      <c r="L32" s="25" t="s">
        <v>410</v>
      </c>
    </row>
    <row r="33" spans="1:12" x14ac:dyDescent="0.25">
      <c r="G33" s="29"/>
    </row>
    <row r="34" spans="1:12" x14ac:dyDescent="0.25">
      <c r="A34" s="25" t="s">
        <v>456</v>
      </c>
      <c r="B34" s="25" t="s">
        <v>458</v>
      </c>
      <c r="F34" s="25">
        <v>600</v>
      </c>
      <c r="G34" s="29">
        <f>+F34*0.8</f>
        <v>480</v>
      </c>
    </row>
    <row r="35" spans="1:12" x14ac:dyDescent="0.25">
      <c r="B35" s="25" t="s">
        <v>481</v>
      </c>
    </row>
    <row r="36" spans="1:12" x14ac:dyDescent="0.25">
      <c r="C36" s="25" t="s">
        <v>482</v>
      </c>
      <c r="G36" s="25">
        <f>-G14*0.1</f>
        <v>-174</v>
      </c>
    </row>
    <row r="37" spans="1:12" x14ac:dyDescent="0.25">
      <c r="C37" s="25" t="s">
        <v>483</v>
      </c>
      <c r="G37" s="25">
        <f>-G20*0.2</f>
        <v>-240</v>
      </c>
    </row>
    <row r="38" spans="1:12" x14ac:dyDescent="0.25">
      <c r="C38" s="25" t="s">
        <v>484</v>
      </c>
      <c r="G38" s="25">
        <f>-G24*0.2</f>
        <v>-496</v>
      </c>
    </row>
    <row r="40" spans="1:12" x14ac:dyDescent="0.25">
      <c r="B40" s="25" t="s">
        <v>461</v>
      </c>
      <c r="G40" s="29">
        <f>SUM(G34:G39)</f>
        <v>-430</v>
      </c>
      <c r="I40" s="25" t="s">
        <v>485</v>
      </c>
      <c r="K40" s="25" t="s">
        <v>349</v>
      </c>
      <c r="L40" s="25" t="s">
        <v>424</v>
      </c>
    </row>
    <row r="42" spans="1:12" ht="15.75" thickBot="1" x14ac:dyDescent="0.3">
      <c r="B42" s="25" t="s">
        <v>486</v>
      </c>
      <c r="G42" s="92">
        <f>+G30+G32+G40</f>
        <v>21022</v>
      </c>
    </row>
    <row r="43" spans="1:12" ht="15.75" thickTop="1" x14ac:dyDescent="0.25"/>
    <row r="45" spans="1:12" x14ac:dyDescent="0.25">
      <c r="B45" s="29" t="s">
        <v>488</v>
      </c>
    </row>
    <row r="47" spans="1:12" x14ac:dyDescent="0.25">
      <c r="A47" s="25" t="s">
        <v>453</v>
      </c>
      <c r="B47" s="25" t="s">
        <v>479</v>
      </c>
      <c r="G47" s="29">
        <f>+G30</f>
        <v>19852</v>
      </c>
    </row>
    <row r="48" spans="1:12" x14ac:dyDescent="0.25">
      <c r="G48" s="29"/>
    </row>
    <row r="49" spans="1:7" x14ac:dyDescent="0.25">
      <c r="A49" s="25" t="s">
        <v>480</v>
      </c>
      <c r="B49" s="25" t="s">
        <v>455</v>
      </c>
      <c r="F49" s="25">
        <v>2000</v>
      </c>
      <c r="G49" s="29">
        <f>+F49*0.8</f>
        <v>1600</v>
      </c>
    </row>
    <row r="51" spans="1:7" ht="15.75" thickBot="1" x14ac:dyDescent="0.3">
      <c r="G51" s="92">
        <f>+G49+G47</f>
        <v>21452</v>
      </c>
    </row>
    <row r="52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0B65-43BB-4E7B-BF07-9281460B2791}">
  <dimension ref="A3:J29"/>
  <sheetViews>
    <sheetView topLeftCell="B20" zoomScale="150" zoomScaleNormal="150" workbookViewId="0">
      <selection activeCell="G27" sqref="G27"/>
    </sheetView>
  </sheetViews>
  <sheetFormatPr defaultRowHeight="15" x14ac:dyDescent="0.25"/>
  <cols>
    <col min="1" max="1" width="11" bestFit="1" customWidth="1"/>
    <col min="5" max="5" width="14.85546875" bestFit="1" customWidth="1"/>
    <col min="6" max="6" width="15.5703125" bestFit="1" customWidth="1"/>
    <col min="8" max="8" width="15.28515625" customWidth="1"/>
  </cols>
  <sheetData>
    <row r="3" spans="2:8" x14ac:dyDescent="0.25">
      <c r="B3" s="1" t="s">
        <v>489</v>
      </c>
      <c r="H3">
        <v>2013</v>
      </c>
    </row>
    <row r="5" spans="2:8" x14ac:dyDescent="0.25">
      <c r="F5" s="21">
        <v>0.8</v>
      </c>
    </row>
    <row r="6" spans="2:8" s="25" customFormat="1" x14ac:dyDescent="0.25">
      <c r="B6" s="25" t="s">
        <v>148</v>
      </c>
      <c r="F6" s="25">
        <v>800000</v>
      </c>
    </row>
    <row r="7" spans="2:8" s="25" customFormat="1" x14ac:dyDescent="0.25">
      <c r="B7" s="25" t="s">
        <v>330</v>
      </c>
      <c r="F7" s="25">
        <v>500000</v>
      </c>
    </row>
    <row r="8" spans="2:8" s="25" customFormat="1" x14ac:dyDescent="0.25">
      <c r="B8" s="25" t="s">
        <v>429</v>
      </c>
      <c r="F8" s="25">
        <f>+F6-F7</f>
        <v>300000</v>
      </c>
    </row>
    <row r="9" spans="2:8" s="25" customFormat="1" ht="23.25" customHeight="1" x14ac:dyDescent="0.25">
      <c r="B9" s="25" t="s">
        <v>490</v>
      </c>
      <c r="F9" s="25">
        <v>360000</v>
      </c>
    </row>
    <row r="10" spans="2:8" s="25" customFormat="1" x14ac:dyDescent="0.25">
      <c r="B10" s="25" t="s">
        <v>491</v>
      </c>
      <c r="E10" s="77">
        <v>0.25</v>
      </c>
      <c r="F10" s="25">
        <f>-E10*F9</f>
        <v>-90000</v>
      </c>
    </row>
    <row r="11" spans="2:8" s="25" customFormat="1" x14ac:dyDescent="0.25">
      <c r="B11" s="25" t="s">
        <v>492</v>
      </c>
      <c r="F11" s="80">
        <f>+F9+F10</f>
        <v>270000</v>
      </c>
      <c r="G11" s="77">
        <v>0.03</v>
      </c>
    </row>
    <row r="12" spans="2:8" s="25" customFormat="1" x14ac:dyDescent="0.25"/>
    <row r="13" spans="2:8" s="25" customFormat="1" x14ac:dyDescent="0.25">
      <c r="B13" s="25" t="s">
        <v>438</v>
      </c>
      <c r="F13" s="25">
        <f>+F8-F11</f>
        <v>30000</v>
      </c>
      <c r="G13" s="77">
        <v>0.2</v>
      </c>
    </row>
    <row r="14" spans="2:8" s="25" customFormat="1" x14ac:dyDescent="0.25"/>
    <row r="15" spans="2:8" s="25" customFormat="1" x14ac:dyDescent="0.25"/>
    <row r="16" spans="2:8" s="25" customFormat="1" x14ac:dyDescent="0.25"/>
    <row r="17" spans="1:10" s="25" customFormat="1" x14ac:dyDescent="0.25"/>
    <row r="18" spans="1:10" s="25" customFormat="1" x14ac:dyDescent="0.25">
      <c r="B18" s="29" t="s">
        <v>493</v>
      </c>
    </row>
    <row r="19" spans="1:10" x14ac:dyDescent="0.25">
      <c r="E19" s="21">
        <v>1</v>
      </c>
      <c r="F19" s="21">
        <v>0.8</v>
      </c>
    </row>
    <row r="20" spans="1:10" x14ac:dyDescent="0.25">
      <c r="A20" s="93">
        <v>41275</v>
      </c>
      <c r="B20" t="s">
        <v>494</v>
      </c>
      <c r="F20" s="25">
        <v>960000</v>
      </c>
    </row>
    <row r="22" spans="1:10" x14ac:dyDescent="0.25">
      <c r="B22" t="s">
        <v>495</v>
      </c>
      <c r="E22" s="25">
        <v>30000</v>
      </c>
      <c r="F22" s="25">
        <f>-E22*F19</f>
        <v>-24000</v>
      </c>
      <c r="H22" t="s">
        <v>410</v>
      </c>
      <c r="I22" t="s">
        <v>349</v>
      </c>
      <c r="J22" t="s">
        <v>496</v>
      </c>
    </row>
    <row r="24" spans="1:10" x14ac:dyDescent="0.25">
      <c r="A24" s="93">
        <v>41639</v>
      </c>
      <c r="B24" t="s">
        <v>497</v>
      </c>
      <c r="E24" s="25">
        <v>100000</v>
      </c>
      <c r="F24" s="25">
        <f>+E24*F19</f>
        <v>80000</v>
      </c>
    </row>
    <row r="25" spans="1:10" x14ac:dyDescent="0.25">
      <c r="B25" t="s">
        <v>498</v>
      </c>
      <c r="F25" s="25">
        <f>-F11*3%</f>
        <v>-8100</v>
      </c>
    </row>
    <row r="26" spans="1:10" x14ac:dyDescent="0.25">
      <c r="B26" t="s">
        <v>499</v>
      </c>
      <c r="F26" s="25">
        <f>-F13*20%</f>
        <v>-6000</v>
      </c>
    </row>
    <row r="27" spans="1:10" x14ac:dyDescent="0.25">
      <c r="F27" s="94">
        <f>SUM(F24:F26)</f>
        <v>65900</v>
      </c>
      <c r="H27" t="s">
        <v>501</v>
      </c>
      <c r="I27" t="s">
        <v>349</v>
      </c>
      <c r="J27" t="s">
        <v>502</v>
      </c>
    </row>
    <row r="29" spans="1:10" x14ac:dyDescent="0.25">
      <c r="B29" t="s">
        <v>500</v>
      </c>
      <c r="F29" s="27">
        <f>+F20+F22+F27</f>
        <v>1001900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07D5-0059-42CA-B487-F4A92E45B11D}">
  <dimension ref="A4:I12"/>
  <sheetViews>
    <sheetView topLeftCell="A7" zoomScale="140" zoomScaleNormal="140" workbookViewId="0">
      <selection activeCell="I8" sqref="I8"/>
    </sheetView>
  </sheetViews>
  <sheetFormatPr defaultRowHeight="15" x14ac:dyDescent="0.25"/>
  <cols>
    <col min="2" max="2" width="13.7109375" customWidth="1"/>
  </cols>
  <sheetData>
    <row r="4" spans="1:9" x14ac:dyDescent="0.25">
      <c r="A4">
        <v>1</v>
      </c>
      <c r="C4" t="s">
        <v>67</v>
      </c>
    </row>
    <row r="6" spans="1:9" x14ac:dyDescent="0.25">
      <c r="A6">
        <v>2</v>
      </c>
      <c r="C6" t="s">
        <v>68</v>
      </c>
      <c r="F6" t="s">
        <v>73</v>
      </c>
    </row>
    <row r="8" spans="1:9" x14ac:dyDescent="0.25">
      <c r="A8">
        <v>3</v>
      </c>
      <c r="C8" t="s">
        <v>69</v>
      </c>
      <c r="F8" t="s">
        <v>74</v>
      </c>
      <c r="I8" s="3" t="s">
        <v>75</v>
      </c>
    </row>
    <row r="9" spans="1:9" s="19" customFormat="1" x14ac:dyDescent="0.25"/>
    <row r="10" spans="1:9" x14ac:dyDescent="0.25">
      <c r="A10">
        <v>4</v>
      </c>
      <c r="B10" t="s">
        <v>77</v>
      </c>
      <c r="C10" t="s">
        <v>70</v>
      </c>
      <c r="F10" t="s">
        <v>76</v>
      </c>
    </row>
    <row r="12" spans="1:9" x14ac:dyDescent="0.25">
      <c r="A12">
        <v>5</v>
      </c>
      <c r="C12" t="s">
        <v>71</v>
      </c>
      <c r="F12" s="3" t="s">
        <v>72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DE8F-9347-404E-BCE3-FB0E9A2FE9AB}">
  <dimension ref="C2:M38"/>
  <sheetViews>
    <sheetView topLeftCell="A28" workbookViewId="0">
      <selection activeCell="F7" sqref="F7"/>
    </sheetView>
  </sheetViews>
  <sheetFormatPr defaultRowHeight="15" x14ac:dyDescent="0.25"/>
  <cols>
    <col min="3" max="3" width="12.28515625" customWidth="1"/>
    <col min="5" max="5" width="15.42578125" customWidth="1"/>
  </cols>
  <sheetData>
    <row r="2" spans="3:13" x14ac:dyDescent="0.25">
      <c r="D2" t="s">
        <v>0</v>
      </c>
      <c r="I2" t="s">
        <v>506</v>
      </c>
    </row>
    <row r="4" spans="3:13" x14ac:dyDescent="0.25">
      <c r="C4" s="5"/>
      <c r="D4" s="5"/>
      <c r="E4" s="4"/>
      <c r="F4" s="5"/>
      <c r="H4" s="5"/>
      <c r="I4" s="5"/>
      <c r="J4" s="4"/>
      <c r="K4" s="5"/>
    </row>
    <row r="5" spans="3:13" x14ac:dyDescent="0.25">
      <c r="C5" s="8" t="s">
        <v>505</v>
      </c>
      <c r="D5" s="8">
        <f>100+80-40</f>
        <v>140</v>
      </c>
      <c r="E5" s="7" t="s">
        <v>503</v>
      </c>
      <c r="F5" s="8">
        <v>100</v>
      </c>
      <c r="H5" s="8" t="s">
        <v>507</v>
      </c>
      <c r="I5" s="8">
        <v>350</v>
      </c>
      <c r="J5" s="7" t="s">
        <v>330</v>
      </c>
      <c r="K5" s="8">
        <f>100/0.4</f>
        <v>250</v>
      </c>
    </row>
    <row r="6" spans="3:13" x14ac:dyDescent="0.25">
      <c r="C6" s="8"/>
      <c r="D6" s="8"/>
      <c r="E6" s="7" t="s">
        <v>513</v>
      </c>
      <c r="F6" s="8">
        <f>80-40</f>
        <v>40</v>
      </c>
      <c r="H6" s="8"/>
      <c r="I6" s="8"/>
      <c r="J6" s="7" t="s">
        <v>510</v>
      </c>
      <c r="K6" s="8">
        <f>200-100</f>
        <v>100</v>
      </c>
      <c r="M6">
        <f>+K6*0.4</f>
        <v>40</v>
      </c>
    </row>
    <row r="7" spans="3:13" x14ac:dyDescent="0.25">
      <c r="C7" s="8" t="s">
        <v>25</v>
      </c>
      <c r="D7" s="8">
        <v>40</v>
      </c>
      <c r="E7" s="7" t="s">
        <v>514</v>
      </c>
      <c r="F7" s="8">
        <v>40</v>
      </c>
      <c r="H7" s="8"/>
      <c r="I7" s="8"/>
      <c r="J7" s="7"/>
      <c r="K7" s="8"/>
      <c r="M7">
        <f>450*0.4</f>
        <v>180</v>
      </c>
    </row>
    <row r="8" spans="3:13" x14ac:dyDescent="0.25">
      <c r="C8" s="8"/>
      <c r="D8" s="8"/>
      <c r="E8" s="7"/>
      <c r="F8" s="8"/>
      <c r="H8" s="8"/>
      <c r="I8" s="8"/>
      <c r="J8" s="7"/>
      <c r="K8" s="8"/>
      <c r="M8">
        <f>350*0.4</f>
        <v>140</v>
      </c>
    </row>
    <row r="9" spans="3:13" x14ac:dyDescent="0.25">
      <c r="C9" s="8"/>
      <c r="D9" s="8"/>
      <c r="E9" s="7"/>
      <c r="F9" s="8"/>
      <c r="H9" s="8"/>
      <c r="I9" s="8"/>
      <c r="J9" s="7"/>
      <c r="K9" s="8"/>
    </row>
    <row r="10" spans="3:13" x14ac:dyDescent="0.25">
      <c r="C10" s="8"/>
      <c r="D10" s="8"/>
      <c r="E10" s="7"/>
      <c r="F10" s="8"/>
      <c r="H10" s="8"/>
      <c r="I10" s="8"/>
      <c r="J10" s="7"/>
      <c r="K10" s="8"/>
    </row>
    <row r="11" spans="3:13" x14ac:dyDescent="0.25">
      <c r="C11" s="8"/>
      <c r="D11" s="8"/>
      <c r="E11" s="7"/>
      <c r="F11" s="8"/>
      <c r="H11" s="8"/>
      <c r="I11" s="8"/>
      <c r="J11" s="7"/>
      <c r="K11" s="8"/>
    </row>
    <row r="12" spans="3:13" x14ac:dyDescent="0.25">
      <c r="C12" s="8"/>
      <c r="D12" s="8"/>
      <c r="E12" s="7"/>
      <c r="F12" s="8"/>
      <c r="H12" s="8"/>
      <c r="I12" s="8"/>
      <c r="J12" s="7"/>
      <c r="K12" s="8"/>
    </row>
    <row r="13" spans="3:13" x14ac:dyDescent="0.25">
      <c r="C13" s="8"/>
      <c r="D13" s="8"/>
      <c r="E13" s="7"/>
      <c r="F13" s="8"/>
      <c r="H13" s="8"/>
      <c r="I13" s="8"/>
      <c r="J13" s="7"/>
      <c r="K13" s="8"/>
    </row>
    <row r="14" spans="3:13" x14ac:dyDescent="0.25">
      <c r="C14" s="8"/>
      <c r="D14" s="8"/>
      <c r="E14" s="7"/>
      <c r="F14" s="8"/>
      <c r="H14" s="8"/>
      <c r="I14" s="8"/>
      <c r="J14" s="7"/>
      <c r="K14" s="8"/>
    </row>
    <row r="17" spans="3:11" x14ac:dyDescent="0.25">
      <c r="D17" t="s">
        <v>1</v>
      </c>
      <c r="I17" t="s">
        <v>508</v>
      </c>
    </row>
    <row r="19" spans="3:11" x14ac:dyDescent="0.25">
      <c r="C19" s="5"/>
      <c r="D19" s="5"/>
      <c r="E19" s="4"/>
      <c r="F19" s="5"/>
      <c r="H19" s="5"/>
      <c r="I19" s="5"/>
      <c r="J19" s="4"/>
      <c r="K19" s="5"/>
    </row>
    <row r="20" spans="3:11" x14ac:dyDescent="0.25">
      <c r="C20" s="8"/>
      <c r="D20" s="8"/>
      <c r="E20" s="7"/>
      <c r="F20" s="8"/>
      <c r="H20" s="8"/>
      <c r="I20" s="8"/>
      <c r="J20" s="7"/>
      <c r="K20" s="8"/>
    </row>
    <row r="21" spans="3:11" x14ac:dyDescent="0.25">
      <c r="C21" s="8"/>
      <c r="D21" s="8"/>
      <c r="E21" s="7"/>
      <c r="F21" s="8"/>
      <c r="H21" s="8"/>
      <c r="I21" s="8"/>
      <c r="J21" s="7"/>
      <c r="K21" s="8"/>
    </row>
    <row r="22" spans="3:11" x14ac:dyDescent="0.25">
      <c r="C22" s="8"/>
      <c r="D22" s="8"/>
      <c r="E22" s="7"/>
      <c r="F22" s="8"/>
      <c r="H22" s="8"/>
      <c r="I22" s="8"/>
      <c r="J22" s="7"/>
      <c r="K22" s="8"/>
    </row>
    <row r="23" spans="3:11" x14ac:dyDescent="0.25">
      <c r="C23" s="8"/>
      <c r="D23" s="8"/>
      <c r="E23" s="7"/>
      <c r="F23" s="8"/>
      <c r="H23" s="8"/>
      <c r="I23" s="8"/>
      <c r="J23" s="7"/>
      <c r="K23" s="8"/>
    </row>
    <row r="24" spans="3:11" x14ac:dyDescent="0.25">
      <c r="C24" s="8"/>
      <c r="D24" s="8"/>
      <c r="E24" s="7"/>
      <c r="F24" s="8"/>
      <c r="H24" s="8"/>
      <c r="I24" s="8"/>
      <c r="J24" s="7"/>
      <c r="K24" s="8"/>
    </row>
    <row r="25" spans="3:11" x14ac:dyDescent="0.25">
      <c r="C25" s="8"/>
      <c r="D25" s="8"/>
      <c r="E25" s="7"/>
      <c r="F25" s="8"/>
      <c r="H25" s="8"/>
      <c r="I25" s="8"/>
      <c r="J25" s="7"/>
      <c r="K25" s="8"/>
    </row>
    <row r="26" spans="3:11" x14ac:dyDescent="0.25">
      <c r="C26" s="8"/>
      <c r="D26" s="8"/>
      <c r="E26" s="7"/>
      <c r="F26" s="8"/>
      <c r="H26" s="8"/>
      <c r="I26" s="8"/>
      <c r="J26" s="7"/>
      <c r="K26" s="8"/>
    </row>
    <row r="27" spans="3:11" x14ac:dyDescent="0.25">
      <c r="C27" s="8"/>
      <c r="D27" s="8"/>
      <c r="E27" s="7"/>
      <c r="F27" s="8"/>
      <c r="H27" s="8"/>
      <c r="I27" s="8"/>
      <c r="J27" s="7"/>
      <c r="K27" s="8"/>
    </row>
    <row r="28" spans="3:11" x14ac:dyDescent="0.25">
      <c r="C28" s="8"/>
      <c r="D28" s="8"/>
      <c r="E28" s="7"/>
      <c r="F28" s="8"/>
      <c r="H28" s="8"/>
      <c r="I28" s="8"/>
      <c r="J28" s="7"/>
      <c r="K28" s="8"/>
    </row>
    <row r="29" spans="3:11" x14ac:dyDescent="0.25">
      <c r="C29" s="8"/>
      <c r="D29" s="8"/>
      <c r="E29" s="7"/>
      <c r="F29" s="8"/>
      <c r="H29" s="8"/>
      <c r="I29" s="8"/>
      <c r="J29" s="7"/>
      <c r="K29" s="8"/>
    </row>
    <row r="33" spans="6:13" x14ac:dyDescent="0.25">
      <c r="F33" t="s">
        <v>509</v>
      </c>
      <c r="I33" t="s">
        <v>512</v>
      </c>
      <c r="L33" t="s">
        <v>511</v>
      </c>
    </row>
    <row r="34" spans="6:13" x14ac:dyDescent="0.25">
      <c r="F34" s="5"/>
      <c r="G34" s="4">
        <v>90</v>
      </c>
      <c r="I34" s="5"/>
      <c r="J34" s="4"/>
      <c r="L34" s="5"/>
      <c r="M34" s="4"/>
    </row>
    <row r="35" spans="6:13" x14ac:dyDescent="0.25">
      <c r="F35" s="3">
        <v>90</v>
      </c>
      <c r="G35" s="7"/>
      <c r="I35" s="3"/>
      <c r="J35" s="53">
        <v>80</v>
      </c>
      <c r="K35" s="3"/>
      <c r="L35" s="3"/>
      <c r="M35" s="53">
        <v>10</v>
      </c>
    </row>
    <row r="36" spans="6:13" x14ac:dyDescent="0.25">
      <c r="G36" s="7"/>
      <c r="J36" s="7"/>
      <c r="M36" s="7"/>
    </row>
    <row r="37" spans="6:13" x14ac:dyDescent="0.25">
      <c r="G37" s="7"/>
      <c r="J37" s="7"/>
      <c r="M37" s="7"/>
    </row>
    <row r="38" spans="6:13" x14ac:dyDescent="0.25">
      <c r="G38" s="7"/>
      <c r="J38" s="7"/>
      <c r="M38" s="7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E317-6EB3-44F5-8638-F1104B6312CF}">
  <dimension ref="A2:L31"/>
  <sheetViews>
    <sheetView zoomScale="120" zoomScaleNormal="120" workbookViewId="0"/>
  </sheetViews>
  <sheetFormatPr defaultRowHeight="15" x14ac:dyDescent="0.25"/>
  <cols>
    <col min="1" max="1" width="12.7109375" style="25" bestFit="1" customWidth="1"/>
    <col min="2" max="3" width="9.140625" style="25"/>
    <col min="4" max="4" width="12.7109375" style="25" bestFit="1" customWidth="1"/>
    <col min="5" max="5" width="13.7109375" style="25" bestFit="1" customWidth="1"/>
    <col min="6" max="6" width="16" style="25" customWidth="1"/>
    <col min="7" max="7" width="11.5703125" style="25" bestFit="1" customWidth="1"/>
    <col min="8" max="8" width="14.5703125" style="25" customWidth="1"/>
    <col min="9" max="9" width="9.85546875" style="25" bestFit="1" customWidth="1"/>
    <col min="10" max="10" width="9.140625" style="25"/>
    <col min="11" max="11" width="9.85546875" style="25" bestFit="1" customWidth="1"/>
    <col min="12" max="16384" width="9.140625" style="25"/>
  </cols>
  <sheetData>
    <row r="2" spans="1:11" x14ac:dyDescent="0.25">
      <c r="D2" s="77">
        <v>1</v>
      </c>
      <c r="E2" s="78">
        <v>0.6</v>
      </c>
    </row>
    <row r="4" spans="1:11" x14ac:dyDescent="0.25">
      <c r="A4" s="95">
        <v>43466</v>
      </c>
      <c r="B4" s="25" t="s">
        <v>515</v>
      </c>
      <c r="E4" s="25">
        <v>200000</v>
      </c>
    </row>
    <row r="6" spans="1:11" x14ac:dyDescent="0.25">
      <c r="B6" s="25" t="s">
        <v>516</v>
      </c>
      <c r="D6" s="25">
        <v>40000</v>
      </c>
      <c r="E6" s="25">
        <f>-D6*E2</f>
        <v>-24000</v>
      </c>
      <c r="G6" s="25" t="s">
        <v>517</v>
      </c>
      <c r="H6" s="25" t="s">
        <v>349</v>
      </c>
      <c r="I6" s="25" t="s">
        <v>424</v>
      </c>
    </row>
    <row r="8" spans="1:11" x14ac:dyDescent="0.25">
      <c r="B8" s="25" t="s">
        <v>518</v>
      </c>
      <c r="D8" s="25">
        <v>25000</v>
      </c>
      <c r="E8" s="25">
        <f>+D8*E2</f>
        <v>15000</v>
      </c>
      <c r="G8" s="25" t="s">
        <v>504</v>
      </c>
      <c r="H8" s="25" t="s">
        <v>349</v>
      </c>
      <c r="I8" s="25" t="s">
        <v>410</v>
      </c>
    </row>
    <row r="10" spans="1:11" x14ac:dyDescent="0.25">
      <c r="A10" s="95">
        <v>43830</v>
      </c>
      <c r="B10" s="25" t="s">
        <v>519</v>
      </c>
    </row>
    <row r="11" spans="1:11" x14ac:dyDescent="0.25">
      <c r="C11" s="25" t="s">
        <v>520</v>
      </c>
      <c r="D11" s="25">
        <v>65000</v>
      </c>
      <c r="E11" s="25">
        <f>+D11*E2</f>
        <v>39000</v>
      </c>
    </row>
    <row r="12" spans="1:11" x14ac:dyDescent="0.25">
      <c r="C12" s="25" t="s">
        <v>521</v>
      </c>
      <c r="E12" s="25">
        <v>-10000</v>
      </c>
    </row>
    <row r="13" spans="1:11" x14ac:dyDescent="0.25">
      <c r="C13" s="25" t="s">
        <v>522</v>
      </c>
      <c r="E13" s="25">
        <f>-K31</f>
        <v>-226.8</v>
      </c>
    </row>
    <row r="14" spans="1:11" x14ac:dyDescent="0.25">
      <c r="E14" s="80">
        <f>SUM(E11:E13)</f>
        <v>28773.200000000001</v>
      </c>
      <c r="G14" s="25" t="s">
        <v>537</v>
      </c>
      <c r="H14" s="25" t="s">
        <v>349</v>
      </c>
      <c r="I14" s="25" t="s">
        <v>538</v>
      </c>
    </row>
    <row r="15" spans="1:11" x14ac:dyDescent="0.25">
      <c r="H15" s="25" t="s">
        <v>523</v>
      </c>
      <c r="K15" s="25">
        <v>0.8</v>
      </c>
    </row>
    <row r="16" spans="1:11" x14ac:dyDescent="0.25">
      <c r="B16" s="25" t="s">
        <v>539</v>
      </c>
      <c r="E16" s="25">
        <f>+E4+E6+E8+E14</f>
        <v>219773.2</v>
      </c>
      <c r="H16" s="25" t="s">
        <v>524</v>
      </c>
      <c r="K16" s="25">
        <v>2</v>
      </c>
    </row>
    <row r="17" spans="6:12" x14ac:dyDescent="0.25">
      <c r="H17" s="25" t="s">
        <v>525</v>
      </c>
      <c r="K17" s="29">
        <f>+K16-K15</f>
        <v>1.2</v>
      </c>
    </row>
    <row r="19" spans="6:12" x14ac:dyDescent="0.25">
      <c r="H19" s="25" t="s">
        <v>526</v>
      </c>
    </row>
    <row r="20" spans="6:12" x14ac:dyDescent="0.25">
      <c r="H20" s="25" t="s">
        <v>527</v>
      </c>
    </row>
    <row r="22" spans="6:12" x14ac:dyDescent="0.25">
      <c r="H22" s="25" t="s">
        <v>467</v>
      </c>
      <c r="J22" s="25" t="s">
        <v>468</v>
      </c>
    </row>
    <row r="23" spans="6:12" x14ac:dyDescent="0.25">
      <c r="F23" s="25" t="s">
        <v>529</v>
      </c>
      <c r="G23" s="25">
        <v>1500</v>
      </c>
      <c r="H23" s="96" t="s">
        <v>530</v>
      </c>
      <c r="I23" s="96">
        <v>750</v>
      </c>
      <c r="K23" s="25">
        <v>300</v>
      </c>
      <c r="L23" s="25" t="s">
        <v>532</v>
      </c>
    </row>
    <row r="24" spans="6:12" x14ac:dyDescent="0.25">
      <c r="H24" s="25" t="s">
        <v>528</v>
      </c>
      <c r="I24" s="25">
        <v>750</v>
      </c>
      <c r="K24" s="97">
        <v>450</v>
      </c>
      <c r="L24" s="96" t="s">
        <v>531</v>
      </c>
    </row>
    <row r="26" spans="6:12" x14ac:dyDescent="0.25">
      <c r="H26" s="25" t="s">
        <v>534</v>
      </c>
      <c r="K26" s="25">
        <f>+K17*I23</f>
        <v>900</v>
      </c>
    </row>
    <row r="27" spans="6:12" x14ac:dyDescent="0.25">
      <c r="H27" s="29" t="s">
        <v>533</v>
      </c>
      <c r="I27" s="29"/>
      <c r="J27" s="29"/>
      <c r="K27" s="29">
        <f>+K17*K24</f>
        <v>540</v>
      </c>
    </row>
    <row r="28" spans="6:12" x14ac:dyDescent="0.25">
      <c r="H28" s="25" t="s">
        <v>535</v>
      </c>
      <c r="K28" s="49">
        <f>+K27*0.6</f>
        <v>324</v>
      </c>
    </row>
    <row r="29" spans="6:12" x14ac:dyDescent="0.25">
      <c r="H29" s="25" t="s">
        <v>536</v>
      </c>
      <c r="K29" s="49">
        <f>-K28*0.3</f>
        <v>-97.2</v>
      </c>
    </row>
    <row r="31" spans="6:12" x14ac:dyDescent="0.25">
      <c r="K31" s="29">
        <f>+K28+K29</f>
        <v>226.8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4A6B-36C7-4240-9E32-1F439900BC10}">
  <dimension ref="B3:J48"/>
  <sheetViews>
    <sheetView topLeftCell="E22" zoomScale="160" zoomScaleNormal="160" workbookViewId="0">
      <selection activeCell="F45" sqref="F45"/>
    </sheetView>
  </sheetViews>
  <sheetFormatPr defaultRowHeight="15" x14ac:dyDescent="0.25"/>
  <sheetData>
    <row r="3" spans="2:9" x14ac:dyDescent="0.25">
      <c r="B3" s="15" t="s">
        <v>78</v>
      </c>
    </row>
    <row r="6" spans="2:9" x14ac:dyDescent="0.25">
      <c r="B6" t="s">
        <v>79</v>
      </c>
      <c r="E6" t="s">
        <v>80</v>
      </c>
    </row>
    <row r="7" spans="2:9" x14ac:dyDescent="0.25">
      <c r="E7" t="s">
        <v>81</v>
      </c>
    </row>
    <row r="8" spans="2:9" x14ac:dyDescent="0.25">
      <c r="E8" t="s">
        <v>82</v>
      </c>
    </row>
    <row r="10" spans="2:9" x14ac:dyDescent="0.25">
      <c r="B10" t="s">
        <v>83</v>
      </c>
      <c r="E10" t="s">
        <v>90</v>
      </c>
      <c r="H10" t="s">
        <v>85</v>
      </c>
    </row>
    <row r="11" spans="2:9" x14ac:dyDescent="0.25">
      <c r="E11" t="s">
        <v>84</v>
      </c>
      <c r="H11" t="s">
        <v>86</v>
      </c>
    </row>
    <row r="12" spans="2:9" x14ac:dyDescent="0.25">
      <c r="H12" t="s">
        <v>87</v>
      </c>
    </row>
    <row r="14" spans="2:9" x14ac:dyDescent="0.25">
      <c r="B14" t="s">
        <v>88</v>
      </c>
      <c r="E14" t="s">
        <v>91</v>
      </c>
      <c r="I14" t="s">
        <v>85</v>
      </c>
    </row>
    <row r="15" spans="2:9" x14ac:dyDescent="0.25">
      <c r="E15" t="s">
        <v>89</v>
      </c>
      <c r="I15" t="s">
        <v>92</v>
      </c>
    </row>
    <row r="16" spans="2:9" x14ac:dyDescent="0.25">
      <c r="I16" t="s">
        <v>93</v>
      </c>
    </row>
    <row r="21" spans="2:10" x14ac:dyDescent="0.25">
      <c r="B21" s="15" t="s">
        <v>94</v>
      </c>
    </row>
    <row r="22" spans="2:10" x14ac:dyDescent="0.25">
      <c r="I22" t="s">
        <v>100</v>
      </c>
    </row>
    <row r="23" spans="2:10" x14ac:dyDescent="0.25">
      <c r="B23" t="s">
        <v>95</v>
      </c>
      <c r="F23" s="17"/>
      <c r="G23" s="17"/>
      <c r="I23" s="17" t="s">
        <v>96</v>
      </c>
      <c r="J23" s="17" t="s">
        <v>97</v>
      </c>
    </row>
    <row r="24" spans="2:10" x14ac:dyDescent="0.25">
      <c r="F24" s="17"/>
      <c r="G24" s="17"/>
      <c r="I24" s="17" t="s">
        <v>98</v>
      </c>
      <c r="J24" s="17" t="s">
        <v>99</v>
      </c>
    </row>
    <row r="25" spans="2:10" x14ac:dyDescent="0.25">
      <c r="I25" t="s">
        <v>101</v>
      </c>
      <c r="J25" t="s">
        <v>102</v>
      </c>
    </row>
    <row r="30" spans="2:10" x14ac:dyDescent="0.25">
      <c r="B30" t="s">
        <v>103</v>
      </c>
      <c r="F30" t="s">
        <v>104</v>
      </c>
    </row>
    <row r="31" spans="2:10" x14ac:dyDescent="0.25">
      <c r="F31" s="20"/>
    </row>
    <row r="33" spans="6:10" x14ac:dyDescent="0.25">
      <c r="F33" t="s">
        <v>105</v>
      </c>
    </row>
    <row r="35" spans="6:10" x14ac:dyDescent="0.25">
      <c r="F35" t="s">
        <v>106</v>
      </c>
    </row>
    <row r="38" spans="6:10" x14ac:dyDescent="0.25">
      <c r="F38" t="s">
        <v>107</v>
      </c>
    </row>
    <row r="39" spans="6:10" x14ac:dyDescent="0.25">
      <c r="H39" t="s">
        <v>108</v>
      </c>
    </row>
    <row r="40" spans="6:10" x14ac:dyDescent="0.25">
      <c r="H40" t="s">
        <v>109</v>
      </c>
    </row>
    <row r="43" spans="6:10" x14ac:dyDescent="0.25">
      <c r="F43" t="s">
        <v>110</v>
      </c>
      <c r="J43" t="s">
        <v>115</v>
      </c>
    </row>
    <row r="44" spans="6:10" x14ac:dyDescent="0.25">
      <c r="F44" t="s">
        <v>111</v>
      </c>
      <c r="J44" t="s">
        <v>116</v>
      </c>
    </row>
    <row r="45" spans="6:10" x14ac:dyDescent="0.25">
      <c r="F45" t="s">
        <v>112</v>
      </c>
      <c r="J45" t="s">
        <v>112</v>
      </c>
    </row>
    <row r="46" spans="6:10" x14ac:dyDescent="0.25">
      <c r="F46" t="s">
        <v>113</v>
      </c>
      <c r="J46" t="s">
        <v>113</v>
      </c>
    </row>
    <row r="47" spans="6:10" x14ac:dyDescent="0.25">
      <c r="F47" t="s">
        <v>106</v>
      </c>
      <c r="J47" t="s">
        <v>106</v>
      </c>
    </row>
    <row r="48" spans="6:10" x14ac:dyDescent="0.25">
      <c r="F48" t="s">
        <v>114</v>
      </c>
      <c r="J48" t="s">
        <v>114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59FD-501A-412D-B3FA-9D0729A4446A}">
  <dimension ref="A2:H23"/>
  <sheetViews>
    <sheetView topLeftCell="A13" zoomScale="130" zoomScaleNormal="130" workbookViewId="0">
      <selection activeCell="C6" sqref="C6"/>
    </sheetView>
  </sheetViews>
  <sheetFormatPr defaultRowHeight="15" x14ac:dyDescent="0.25"/>
  <sheetData>
    <row r="2" spans="1:8" x14ac:dyDescent="0.25">
      <c r="A2" s="19">
        <v>1</v>
      </c>
      <c r="B2" t="s">
        <v>117</v>
      </c>
    </row>
    <row r="3" spans="1:8" x14ac:dyDescent="0.25">
      <c r="F3" t="s">
        <v>119</v>
      </c>
      <c r="G3" t="s">
        <v>120</v>
      </c>
    </row>
    <row r="4" spans="1:8" x14ac:dyDescent="0.25">
      <c r="B4" t="s">
        <v>39</v>
      </c>
      <c r="C4" t="s">
        <v>38</v>
      </c>
      <c r="E4" t="s">
        <v>118</v>
      </c>
      <c r="F4">
        <v>100</v>
      </c>
      <c r="G4">
        <v>5</v>
      </c>
      <c r="H4">
        <f>+G4*F4</f>
        <v>500</v>
      </c>
    </row>
    <row r="5" spans="1:8" x14ac:dyDescent="0.25">
      <c r="B5">
        <v>500</v>
      </c>
      <c r="C5">
        <v>640</v>
      </c>
      <c r="E5" t="s">
        <v>121</v>
      </c>
      <c r="F5">
        <v>80</v>
      </c>
      <c r="G5">
        <v>8</v>
      </c>
      <c r="H5">
        <f>+G5*F5</f>
        <v>640</v>
      </c>
    </row>
    <row r="6" spans="1:8" x14ac:dyDescent="0.25">
      <c r="C6" s="3">
        <f>+H6</f>
        <v>160</v>
      </c>
      <c r="D6" t="s">
        <v>127</v>
      </c>
      <c r="E6" t="s">
        <v>126</v>
      </c>
      <c r="F6">
        <f>+F4-F5</f>
        <v>20</v>
      </c>
      <c r="G6">
        <v>8</v>
      </c>
      <c r="H6">
        <f>+G6*F6</f>
        <v>160</v>
      </c>
    </row>
    <row r="7" spans="1:8" x14ac:dyDescent="0.25">
      <c r="B7" s="1">
        <f>+C6+C5-B5</f>
        <v>300</v>
      </c>
    </row>
    <row r="9" spans="1:8" x14ac:dyDescent="0.25">
      <c r="B9" t="s">
        <v>122</v>
      </c>
      <c r="D9">
        <v>0</v>
      </c>
    </row>
    <row r="12" spans="1:8" x14ac:dyDescent="0.25">
      <c r="B12" t="s">
        <v>123</v>
      </c>
    </row>
    <row r="13" spans="1:8" x14ac:dyDescent="0.25">
      <c r="A13" t="s">
        <v>124</v>
      </c>
      <c r="B13">
        <v>640</v>
      </c>
      <c r="C13" t="s">
        <v>125</v>
      </c>
      <c r="D13">
        <v>500</v>
      </c>
    </row>
    <row r="14" spans="1:8" x14ac:dyDescent="0.25">
      <c r="A14" s="3" t="s">
        <v>126</v>
      </c>
      <c r="B14" s="3">
        <f>+C6</f>
        <v>160</v>
      </c>
    </row>
    <row r="15" spans="1:8" x14ac:dyDescent="0.25">
      <c r="D15" s="1">
        <f>+B14+B13-D13</f>
        <v>300</v>
      </c>
    </row>
    <row r="18" spans="1:8" x14ac:dyDescent="0.25">
      <c r="A18" s="19">
        <v>2</v>
      </c>
      <c r="B18" t="s">
        <v>117</v>
      </c>
    </row>
    <row r="19" spans="1:8" x14ac:dyDescent="0.25">
      <c r="F19" t="s">
        <v>119</v>
      </c>
      <c r="G19" t="s">
        <v>120</v>
      </c>
    </row>
    <row r="20" spans="1:8" x14ac:dyDescent="0.25">
      <c r="B20" t="s">
        <v>39</v>
      </c>
      <c r="C20" t="s">
        <v>38</v>
      </c>
      <c r="E20" t="s">
        <v>118</v>
      </c>
      <c r="F20">
        <v>0</v>
      </c>
      <c r="G20">
        <v>5</v>
      </c>
      <c r="H20">
        <f>+G20*F20</f>
        <v>0</v>
      </c>
    </row>
    <row r="21" spans="1:8" x14ac:dyDescent="0.25">
      <c r="A21" s="3" t="s">
        <v>126</v>
      </c>
      <c r="B21" s="3">
        <f>+B14</f>
        <v>160</v>
      </c>
      <c r="C21">
        <v>160</v>
      </c>
      <c r="E21" t="s">
        <v>121</v>
      </c>
      <c r="F21">
        <v>20</v>
      </c>
      <c r="G21">
        <v>8</v>
      </c>
      <c r="H21">
        <f>+G21*F21</f>
        <v>160</v>
      </c>
    </row>
    <row r="22" spans="1:8" x14ac:dyDescent="0.25">
      <c r="C22" s="3"/>
      <c r="E22" t="s">
        <v>126</v>
      </c>
      <c r="H22">
        <f>+G22*F22</f>
        <v>0</v>
      </c>
    </row>
    <row r="23" spans="1:8" x14ac:dyDescent="0.25">
      <c r="B23" s="1">
        <f>+C22+C21-B21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A5D5-41DE-47E9-A49F-3647A79C4F66}">
  <dimension ref="A4:J39"/>
  <sheetViews>
    <sheetView topLeftCell="A10" zoomScale="130" zoomScaleNormal="130" workbookViewId="0">
      <selection activeCell="B12" sqref="B12"/>
    </sheetView>
  </sheetViews>
  <sheetFormatPr defaultRowHeight="15" x14ac:dyDescent="0.25"/>
  <sheetData>
    <row r="4" spans="1:10" x14ac:dyDescent="0.25">
      <c r="A4" t="s">
        <v>128</v>
      </c>
      <c r="D4">
        <v>100</v>
      </c>
    </row>
    <row r="5" spans="1:10" x14ac:dyDescent="0.25">
      <c r="A5" t="s">
        <v>129</v>
      </c>
      <c r="D5">
        <v>120</v>
      </c>
    </row>
    <row r="6" spans="1:10" x14ac:dyDescent="0.25">
      <c r="A6" t="s">
        <v>130</v>
      </c>
      <c r="D6">
        <f>+D5-D4</f>
        <v>20</v>
      </c>
    </row>
    <row r="9" spans="1:10" x14ac:dyDescent="0.25">
      <c r="A9" t="s">
        <v>131</v>
      </c>
      <c r="D9">
        <v>60</v>
      </c>
      <c r="F9" s="21">
        <v>0.6</v>
      </c>
      <c r="G9" t="s">
        <v>132</v>
      </c>
    </row>
    <row r="12" spans="1:10" x14ac:dyDescent="0.25">
      <c r="A12" s="15">
        <v>1</v>
      </c>
      <c r="B12" s="15" t="s">
        <v>133</v>
      </c>
      <c r="E12">
        <v>60</v>
      </c>
      <c r="H12" s="24" t="s">
        <v>143</v>
      </c>
    </row>
    <row r="14" spans="1:10" x14ac:dyDescent="0.25">
      <c r="B14" t="s">
        <v>136</v>
      </c>
      <c r="E14" t="s">
        <v>135</v>
      </c>
      <c r="H14" t="s">
        <v>137</v>
      </c>
    </row>
    <row r="15" spans="1:10" x14ac:dyDescent="0.25">
      <c r="B15" t="s">
        <v>39</v>
      </c>
      <c r="C15" t="s">
        <v>38</v>
      </c>
      <c r="H15" t="s">
        <v>39</v>
      </c>
      <c r="I15" t="s">
        <v>38</v>
      </c>
    </row>
    <row r="16" spans="1:10" x14ac:dyDescent="0.25">
      <c r="A16" t="s">
        <v>39</v>
      </c>
      <c r="B16">
        <v>60</v>
      </c>
      <c r="C16" s="3">
        <v>60</v>
      </c>
      <c r="D16" t="s">
        <v>134</v>
      </c>
      <c r="E16" s="3">
        <v>60</v>
      </c>
      <c r="G16" s="22" t="s">
        <v>39</v>
      </c>
      <c r="H16">
        <v>40</v>
      </c>
      <c r="I16" s="23">
        <v>120</v>
      </c>
      <c r="J16" t="s">
        <v>139</v>
      </c>
    </row>
    <row r="17" spans="1:10" x14ac:dyDescent="0.25">
      <c r="G17" t="s">
        <v>138</v>
      </c>
      <c r="H17" s="3">
        <f>+E16</f>
        <v>60</v>
      </c>
    </row>
    <row r="19" spans="1:10" x14ac:dyDescent="0.25">
      <c r="A19" t="s">
        <v>140</v>
      </c>
      <c r="B19">
        <f>+C16-B17-B16</f>
        <v>0</v>
      </c>
      <c r="G19" t="s">
        <v>140</v>
      </c>
      <c r="H19">
        <f>+I16-H17-H16</f>
        <v>20</v>
      </c>
    </row>
    <row r="22" spans="1:10" x14ac:dyDescent="0.25">
      <c r="A22" s="15">
        <v>2</v>
      </c>
      <c r="B22" s="15" t="s">
        <v>141</v>
      </c>
      <c r="E22">
        <f>120-40</f>
        <v>80</v>
      </c>
      <c r="H22" s="24" t="s">
        <v>144</v>
      </c>
    </row>
    <row r="24" spans="1:10" x14ac:dyDescent="0.25">
      <c r="B24" t="s">
        <v>136</v>
      </c>
      <c r="E24" t="s">
        <v>135</v>
      </c>
      <c r="H24" t="s">
        <v>137</v>
      </c>
    </row>
    <row r="25" spans="1:10" x14ac:dyDescent="0.25">
      <c r="B25" t="s">
        <v>39</v>
      </c>
      <c r="C25" t="s">
        <v>38</v>
      </c>
      <c r="H25" t="s">
        <v>39</v>
      </c>
      <c r="I25" t="s">
        <v>38</v>
      </c>
    </row>
    <row r="26" spans="1:10" x14ac:dyDescent="0.25">
      <c r="A26" t="s">
        <v>39</v>
      </c>
      <c r="B26">
        <v>60</v>
      </c>
      <c r="C26" s="3">
        <f>+E22</f>
        <v>80</v>
      </c>
      <c r="D26" t="s">
        <v>134</v>
      </c>
      <c r="E26" s="3">
        <f>+C26</f>
        <v>80</v>
      </c>
      <c r="G26" s="22" t="s">
        <v>39</v>
      </c>
      <c r="H26">
        <v>40</v>
      </c>
      <c r="I26" s="23">
        <v>120</v>
      </c>
      <c r="J26" t="s">
        <v>139</v>
      </c>
    </row>
    <row r="27" spans="1:10" x14ac:dyDescent="0.25">
      <c r="G27" t="s">
        <v>138</v>
      </c>
      <c r="H27" s="3">
        <f>+E26</f>
        <v>80</v>
      </c>
    </row>
    <row r="29" spans="1:10" x14ac:dyDescent="0.25">
      <c r="A29" t="s">
        <v>140</v>
      </c>
      <c r="B29">
        <f>+C26-B27-B26</f>
        <v>20</v>
      </c>
      <c r="G29" t="s">
        <v>140</v>
      </c>
      <c r="H29">
        <f>+I26-H27-H26</f>
        <v>0</v>
      </c>
    </row>
    <row r="32" spans="1:10" x14ac:dyDescent="0.25">
      <c r="A32" s="15">
        <v>3</v>
      </c>
      <c r="B32" s="15" t="s">
        <v>142</v>
      </c>
      <c r="E32">
        <f>120*60%</f>
        <v>72</v>
      </c>
      <c r="G32">
        <f>60+20*60%</f>
        <v>72</v>
      </c>
      <c r="H32" s="24" t="s">
        <v>145</v>
      </c>
    </row>
    <row r="34" spans="1:10" x14ac:dyDescent="0.25">
      <c r="B34" t="s">
        <v>136</v>
      </c>
      <c r="E34" t="s">
        <v>135</v>
      </c>
      <c r="H34" t="s">
        <v>137</v>
      </c>
    </row>
    <row r="35" spans="1:10" x14ac:dyDescent="0.25">
      <c r="B35" t="s">
        <v>39</v>
      </c>
      <c r="C35" t="s">
        <v>38</v>
      </c>
      <c r="H35" t="s">
        <v>39</v>
      </c>
      <c r="I35" t="s">
        <v>38</v>
      </c>
    </row>
    <row r="36" spans="1:10" x14ac:dyDescent="0.25">
      <c r="A36" t="s">
        <v>39</v>
      </c>
      <c r="B36">
        <v>60</v>
      </c>
      <c r="C36" s="3">
        <f>+E32</f>
        <v>72</v>
      </c>
      <c r="D36" t="s">
        <v>134</v>
      </c>
      <c r="E36" s="3">
        <f>+C36</f>
        <v>72</v>
      </c>
      <c r="G36" s="22" t="s">
        <v>39</v>
      </c>
      <c r="H36">
        <v>40</v>
      </c>
      <c r="I36" s="23">
        <v>120</v>
      </c>
      <c r="J36" t="s">
        <v>139</v>
      </c>
    </row>
    <row r="37" spans="1:10" x14ac:dyDescent="0.25">
      <c r="G37" t="s">
        <v>138</v>
      </c>
      <c r="H37" s="3">
        <f>+E36</f>
        <v>72</v>
      </c>
    </row>
    <row r="39" spans="1:10" x14ac:dyDescent="0.25">
      <c r="A39" t="s">
        <v>140</v>
      </c>
      <c r="B39">
        <f>+C36-B37-B36</f>
        <v>12</v>
      </c>
      <c r="G39" t="s">
        <v>140</v>
      </c>
      <c r="H39">
        <f>+I36-H37-H36</f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DAE8-B5B2-47C1-A656-AF06D846D6FC}">
  <dimension ref="B3:I11"/>
  <sheetViews>
    <sheetView zoomScale="130" zoomScaleNormal="130" workbookViewId="0">
      <selection activeCell="F6" sqref="F6"/>
    </sheetView>
  </sheetViews>
  <sheetFormatPr defaultRowHeight="15" x14ac:dyDescent="0.25"/>
  <sheetData>
    <row r="3" spans="2:9" x14ac:dyDescent="0.25">
      <c r="E3" t="s">
        <v>147</v>
      </c>
      <c r="F3" t="s">
        <v>148</v>
      </c>
    </row>
    <row r="4" spans="2:9" x14ac:dyDescent="0.25">
      <c r="B4">
        <v>1</v>
      </c>
      <c r="C4" t="s">
        <v>146</v>
      </c>
      <c r="E4">
        <v>1000</v>
      </c>
      <c r="F4" s="25">
        <v>5</v>
      </c>
      <c r="G4">
        <f>+F4*E4</f>
        <v>5000</v>
      </c>
      <c r="H4">
        <v>1500</v>
      </c>
      <c r="I4" t="s">
        <v>155</v>
      </c>
    </row>
    <row r="5" spans="2:9" x14ac:dyDescent="0.25">
      <c r="B5">
        <v>2</v>
      </c>
      <c r="C5" t="s">
        <v>146</v>
      </c>
      <c r="E5">
        <v>500</v>
      </c>
      <c r="F5" s="25">
        <v>6</v>
      </c>
      <c r="G5">
        <f>+F5*E5</f>
        <v>3000</v>
      </c>
      <c r="H5">
        <v>1400</v>
      </c>
      <c r="I5" t="s">
        <v>156</v>
      </c>
    </row>
    <row r="6" spans="2:9" x14ac:dyDescent="0.25">
      <c r="C6" t="s">
        <v>149</v>
      </c>
      <c r="E6">
        <v>100</v>
      </c>
      <c r="F6" s="17" t="s">
        <v>150</v>
      </c>
      <c r="G6">
        <f>SUM(G4:G5)</f>
        <v>8000</v>
      </c>
    </row>
    <row r="7" spans="2:9" x14ac:dyDescent="0.25">
      <c r="G7">
        <f>+G6/1500</f>
        <v>5.333333333333333</v>
      </c>
    </row>
    <row r="9" spans="2:9" x14ac:dyDescent="0.25">
      <c r="C9" t="s">
        <v>151</v>
      </c>
      <c r="D9" t="s">
        <v>154</v>
      </c>
      <c r="F9" s="25">
        <v>5</v>
      </c>
    </row>
    <row r="10" spans="2:9" x14ac:dyDescent="0.25">
      <c r="C10" t="s">
        <v>152</v>
      </c>
      <c r="D10" t="s">
        <v>157</v>
      </c>
      <c r="F10" s="25">
        <v>6</v>
      </c>
    </row>
    <row r="11" spans="2:9" x14ac:dyDescent="0.25">
      <c r="C11" t="s">
        <v>153</v>
      </c>
      <c r="F11" s="25">
        <f>+G7</f>
        <v>5.333333333333333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AF60-9C83-40B7-9A70-086C75573D2B}">
  <dimension ref="B1:G78"/>
  <sheetViews>
    <sheetView topLeftCell="A34" workbookViewId="0">
      <selection activeCell="E12" sqref="E12"/>
    </sheetView>
  </sheetViews>
  <sheetFormatPr defaultRowHeight="15" x14ac:dyDescent="0.25"/>
  <cols>
    <col min="4" max="4" width="10.5703125" style="25" bestFit="1" customWidth="1"/>
    <col min="5" max="5" width="12.28515625" customWidth="1"/>
    <col min="6" max="6" width="9.85546875" bestFit="1" customWidth="1"/>
    <col min="7" max="7" width="11.5703125" bestFit="1" customWidth="1"/>
  </cols>
  <sheetData>
    <row r="1" spans="2:7" x14ac:dyDescent="0.25">
      <c r="C1" s="17" t="s">
        <v>119</v>
      </c>
      <c r="D1" s="26" t="s">
        <v>158</v>
      </c>
    </row>
    <row r="3" spans="2:7" x14ac:dyDescent="0.25">
      <c r="B3" t="s">
        <v>159</v>
      </c>
      <c r="C3">
        <v>100</v>
      </c>
      <c r="D3" s="25">
        <v>5</v>
      </c>
      <c r="E3">
        <v>100</v>
      </c>
      <c r="F3" s="27">
        <f>+E3*D3</f>
        <v>500</v>
      </c>
    </row>
    <row r="4" spans="2:7" x14ac:dyDescent="0.25">
      <c r="B4" t="s">
        <v>118</v>
      </c>
      <c r="C4">
        <v>200</v>
      </c>
      <c r="D4" s="25">
        <v>6</v>
      </c>
    </row>
    <row r="5" spans="2:7" x14ac:dyDescent="0.25">
      <c r="B5" t="s">
        <v>160</v>
      </c>
      <c r="C5">
        <v>-200</v>
      </c>
    </row>
    <row r="6" spans="2:7" x14ac:dyDescent="0.25">
      <c r="B6" t="s">
        <v>118</v>
      </c>
      <c r="C6">
        <v>200</v>
      </c>
      <c r="D6" s="25">
        <v>7</v>
      </c>
      <c r="E6">
        <v>100</v>
      </c>
      <c r="F6" s="27">
        <f>+E6*D6</f>
        <v>700</v>
      </c>
      <c r="G6" s="28">
        <f>SUM(F3:F8)</f>
        <v>2000</v>
      </c>
    </row>
    <row r="7" spans="2:7" x14ac:dyDescent="0.25">
      <c r="B7" t="s">
        <v>160</v>
      </c>
      <c r="C7">
        <v>-100</v>
      </c>
    </row>
    <row r="8" spans="2:7" x14ac:dyDescent="0.25">
      <c r="B8" t="s">
        <v>118</v>
      </c>
      <c r="C8">
        <v>300</v>
      </c>
      <c r="D8" s="25">
        <v>8</v>
      </c>
      <c r="E8">
        <v>100</v>
      </c>
      <c r="F8" s="27">
        <f>+E8*D8</f>
        <v>800</v>
      </c>
    </row>
    <row r="9" spans="2:7" x14ac:dyDescent="0.25">
      <c r="B9" t="s">
        <v>160</v>
      </c>
      <c r="C9">
        <v>-200</v>
      </c>
    </row>
    <row r="11" spans="2:7" x14ac:dyDescent="0.25">
      <c r="B11" t="s">
        <v>161</v>
      </c>
      <c r="C11">
        <f>SUM(C3:C10)</f>
        <v>300</v>
      </c>
    </row>
    <row r="14" spans="2:7" x14ac:dyDescent="0.25">
      <c r="B14" s="1" t="s">
        <v>152</v>
      </c>
    </row>
    <row r="15" spans="2:7" x14ac:dyDescent="0.25">
      <c r="C15">
        <v>300</v>
      </c>
      <c r="D15" s="25">
        <v>8</v>
      </c>
      <c r="E15" s="29">
        <f>+D15*C15</f>
        <v>2400</v>
      </c>
    </row>
    <row r="18" spans="2:5" x14ac:dyDescent="0.25">
      <c r="B18" s="1" t="s">
        <v>162</v>
      </c>
    </row>
    <row r="20" spans="2:5" x14ac:dyDescent="0.25">
      <c r="C20">
        <v>100</v>
      </c>
      <c r="D20" s="25">
        <v>5</v>
      </c>
      <c r="E20" s="27">
        <f>+C20*D20</f>
        <v>500</v>
      </c>
    </row>
    <row r="21" spans="2:5" x14ac:dyDescent="0.25">
      <c r="C21">
        <v>200</v>
      </c>
      <c r="D21" s="25">
        <v>6</v>
      </c>
      <c r="E21" s="27">
        <f>+C21*D21</f>
        <v>1200</v>
      </c>
    </row>
    <row r="22" spans="2:5" x14ac:dyDescent="0.25">
      <c r="E22" s="28">
        <f>+E21+E20</f>
        <v>1700</v>
      </c>
    </row>
    <row r="25" spans="2:5" x14ac:dyDescent="0.25">
      <c r="B25" s="1" t="s">
        <v>163</v>
      </c>
    </row>
    <row r="27" spans="2:5" x14ac:dyDescent="0.25">
      <c r="C27">
        <v>100</v>
      </c>
      <c r="D27" s="25">
        <v>500</v>
      </c>
    </row>
    <row r="30" spans="2:5" x14ac:dyDescent="0.25">
      <c r="C30">
        <v>100</v>
      </c>
      <c r="D30" s="25">
        <v>700</v>
      </c>
      <c r="E30" s="29">
        <v>2000</v>
      </c>
    </row>
    <row r="32" spans="2:5" x14ac:dyDescent="0.25">
      <c r="C32">
        <v>100</v>
      </c>
      <c r="D32" s="25">
        <v>800</v>
      </c>
    </row>
    <row r="35" spans="2:6" x14ac:dyDescent="0.25">
      <c r="B35" s="1" t="s">
        <v>164</v>
      </c>
    </row>
    <row r="38" spans="2:6" x14ac:dyDescent="0.25">
      <c r="B38" t="s">
        <v>165</v>
      </c>
      <c r="D38" s="30">
        <v>300</v>
      </c>
    </row>
    <row r="39" spans="2:6" x14ac:dyDescent="0.25">
      <c r="B39" t="s">
        <v>166</v>
      </c>
      <c r="D39" s="30"/>
    </row>
    <row r="40" spans="2:6" x14ac:dyDescent="0.25">
      <c r="D40" s="30"/>
    </row>
    <row r="41" spans="2:6" x14ac:dyDescent="0.25">
      <c r="B41" t="s">
        <v>167</v>
      </c>
      <c r="D41" s="30">
        <v>100</v>
      </c>
      <c r="E41" s="25">
        <v>5</v>
      </c>
      <c r="F41" s="31">
        <f>+E41*D41</f>
        <v>500</v>
      </c>
    </row>
    <row r="42" spans="2:6" x14ac:dyDescent="0.25">
      <c r="B42" t="s">
        <v>168</v>
      </c>
      <c r="D42" s="30">
        <v>200</v>
      </c>
      <c r="E42" s="25">
        <v>7.14</v>
      </c>
      <c r="F42" s="31">
        <f>+E42*D42</f>
        <v>1428</v>
      </c>
    </row>
    <row r="43" spans="2:6" x14ac:dyDescent="0.25">
      <c r="F43" s="32">
        <f>+F42+F41</f>
        <v>1928</v>
      </c>
    </row>
    <row r="46" spans="2:6" x14ac:dyDescent="0.25">
      <c r="B46" t="s">
        <v>169</v>
      </c>
      <c r="D46" s="30">
        <v>400</v>
      </c>
    </row>
    <row r="47" spans="2:6" x14ac:dyDescent="0.25">
      <c r="B47" t="s">
        <v>166</v>
      </c>
    </row>
    <row r="49" spans="2:6" x14ac:dyDescent="0.25">
      <c r="B49" t="s">
        <v>167</v>
      </c>
      <c r="D49" s="30">
        <v>100</v>
      </c>
      <c r="E49" s="25">
        <v>5</v>
      </c>
    </row>
    <row r="50" spans="2:6" x14ac:dyDescent="0.25">
      <c r="B50" t="s">
        <v>168</v>
      </c>
      <c r="D50" s="30">
        <v>200</v>
      </c>
      <c r="E50" s="25">
        <v>7.14</v>
      </c>
    </row>
    <row r="51" spans="2:6" x14ac:dyDescent="0.25">
      <c r="B51" t="s">
        <v>170</v>
      </c>
      <c r="D51" s="30">
        <v>100</v>
      </c>
      <c r="E51">
        <v>7.85</v>
      </c>
      <c r="F51" t="s">
        <v>171</v>
      </c>
    </row>
    <row r="54" spans="2:6" x14ac:dyDescent="0.25">
      <c r="B54" t="s">
        <v>172</v>
      </c>
      <c r="D54" s="30">
        <v>600</v>
      </c>
    </row>
    <row r="55" spans="2:6" x14ac:dyDescent="0.25">
      <c r="B55" t="s">
        <v>166</v>
      </c>
    </row>
    <row r="57" spans="2:6" x14ac:dyDescent="0.25">
      <c r="B57" t="s">
        <v>167</v>
      </c>
      <c r="D57" s="30">
        <v>100</v>
      </c>
      <c r="E57" s="25">
        <v>5</v>
      </c>
    </row>
    <row r="58" spans="2:6" x14ac:dyDescent="0.25">
      <c r="B58" t="s">
        <v>168</v>
      </c>
      <c r="D58" s="30">
        <v>200</v>
      </c>
      <c r="E58" s="25">
        <v>7.14</v>
      </c>
    </row>
    <row r="59" spans="2:6" x14ac:dyDescent="0.25">
      <c r="B59" t="s">
        <v>170</v>
      </c>
      <c r="D59" s="30">
        <v>100</v>
      </c>
      <c r="E59">
        <v>7.85</v>
      </c>
    </row>
    <row r="60" spans="2:6" x14ac:dyDescent="0.25">
      <c r="B60" t="s">
        <v>173</v>
      </c>
      <c r="D60" s="30">
        <v>200</v>
      </c>
      <c r="E60">
        <v>8.25</v>
      </c>
      <c r="F60" t="s">
        <v>174</v>
      </c>
    </row>
    <row r="63" spans="2:6" x14ac:dyDescent="0.25">
      <c r="B63" t="s">
        <v>175</v>
      </c>
      <c r="D63" s="30">
        <v>350</v>
      </c>
    </row>
    <row r="64" spans="2:6" x14ac:dyDescent="0.25">
      <c r="B64" t="s">
        <v>166</v>
      </c>
    </row>
    <row r="66" spans="2:6" x14ac:dyDescent="0.25">
      <c r="B66" t="s">
        <v>167</v>
      </c>
      <c r="D66" s="30">
        <v>100</v>
      </c>
      <c r="E66" s="25">
        <v>5</v>
      </c>
    </row>
    <row r="67" spans="2:6" x14ac:dyDescent="0.25">
      <c r="B67" t="s">
        <v>168</v>
      </c>
      <c r="D67" s="30">
        <v>200</v>
      </c>
      <c r="E67" s="25">
        <v>7.14</v>
      </c>
    </row>
    <row r="68" spans="2:6" x14ac:dyDescent="0.25">
      <c r="B68" t="s">
        <v>170</v>
      </c>
      <c r="D68" s="30">
        <v>50</v>
      </c>
      <c r="E68">
        <v>7.85</v>
      </c>
    </row>
    <row r="69" spans="2:6" x14ac:dyDescent="0.25">
      <c r="B69" t="s">
        <v>173</v>
      </c>
      <c r="D69" s="30">
        <v>0</v>
      </c>
    </row>
    <row r="70" spans="2:6" x14ac:dyDescent="0.25">
      <c r="D70" s="30"/>
    </row>
    <row r="72" spans="2:6" x14ac:dyDescent="0.25">
      <c r="B72" t="s">
        <v>176</v>
      </c>
      <c r="D72" s="30">
        <v>600</v>
      </c>
    </row>
    <row r="73" spans="2:6" x14ac:dyDescent="0.25">
      <c r="B73" t="s">
        <v>166</v>
      </c>
    </row>
    <row r="75" spans="2:6" x14ac:dyDescent="0.25">
      <c r="B75" t="s">
        <v>167</v>
      </c>
      <c r="D75" s="30">
        <v>100</v>
      </c>
      <c r="E75" s="25">
        <v>5</v>
      </c>
    </row>
    <row r="76" spans="2:6" x14ac:dyDescent="0.25">
      <c r="B76" t="s">
        <v>168</v>
      </c>
      <c r="D76" s="30">
        <v>200</v>
      </c>
      <c r="E76" s="25">
        <v>7.14</v>
      </c>
    </row>
    <row r="77" spans="2:6" x14ac:dyDescent="0.25">
      <c r="B77" t="s">
        <v>170</v>
      </c>
      <c r="D77" s="30">
        <v>50</v>
      </c>
      <c r="E77">
        <v>7.85</v>
      </c>
    </row>
    <row r="78" spans="2:6" x14ac:dyDescent="0.25">
      <c r="B78" t="s">
        <v>177</v>
      </c>
      <c r="D78" s="30">
        <v>250</v>
      </c>
      <c r="E78">
        <v>9.11</v>
      </c>
      <c r="F78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61C2-B7AB-4B03-B56A-DB1286BF0B9A}">
  <dimension ref="B1:H35"/>
  <sheetViews>
    <sheetView topLeftCell="A19" workbookViewId="0">
      <selection activeCell="H15" sqref="H15"/>
    </sheetView>
  </sheetViews>
  <sheetFormatPr defaultRowHeight="15" x14ac:dyDescent="0.25"/>
  <cols>
    <col min="6" max="6" width="17.28515625" customWidth="1"/>
    <col min="8" max="8" width="10" bestFit="1" customWidth="1"/>
  </cols>
  <sheetData>
    <row r="1" spans="2:7" x14ac:dyDescent="0.25">
      <c r="B1" s="1" t="s">
        <v>179</v>
      </c>
    </row>
    <row r="2" spans="2:7" x14ac:dyDescent="0.25">
      <c r="C2" s="17"/>
      <c r="D2" s="26"/>
    </row>
    <row r="3" spans="2:7" ht="21" x14ac:dyDescent="0.35">
      <c r="C3" s="17" t="s">
        <v>119</v>
      </c>
      <c r="D3" s="25" t="s">
        <v>180</v>
      </c>
      <c r="E3" s="33" t="s">
        <v>181</v>
      </c>
      <c r="F3" s="33" t="s">
        <v>182</v>
      </c>
      <c r="G3" s="33" t="s">
        <v>183</v>
      </c>
    </row>
    <row r="4" spans="2:7" x14ac:dyDescent="0.25">
      <c r="B4" t="s">
        <v>159</v>
      </c>
      <c r="C4">
        <v>100</v>
      </c>
      <c r="D4" s="25">
        <v>5</v>
      </c>
      <c r="E4">
        <f>+C4</f>
        <v>100</v>
      </c>
      <c r="F4" s="27">
        <f>+D4*C4</f>
        <v>500</v>
      </c>
      <c r="G4" s="25">
        <f t="shared" ref="G4:G10" si="0">+F4/E4</f>
        <v>5</v>
      </c>
    </row>
    <row r="5" spans="2:7" x14ac:dyDescent="0.25">
      <c r="B5" t="s">
        <v>118</v>
      </c>
      <c r="C5">
        <v>200</v>
      </c>
      <c r="D5" s="25">
        <v>6</v>
      </c>
      <c r="E5">
        <f t="shared" ref="E5:E10" si="1">+E4+C5</f>
        <v>300</v>
      </c>
      <c r="F5" s="27">
        <f t="shared" ref="F5:F10" si="2">+D5*C5+F4</f>
        <v>1700</v>
      </c>
      <c r="G5" s="25">
        <f t="shared" si="0"/>
        <v>5.666666666666667</v>
      </c>
    </row>
    <row r="6" spans="2:7" x14ac:dyDescent="0.25">
      <c r="B6" t="s">
        <v>160</v>
      </c>
      <c r="C6">
        <v>-200</v>
      </c>
      <c r="D6" s="25">
        <f>+G5</f>
        <v>5.666666666666667</v>
      </c>
      <c r="E6">
        <f t="shared" si="1"/>
        <v>100</v>
      </c>
      <c r="F6" s="27">
        <f t="shared" si="2"/>
        <v>566.66666666666652</v>
      </c>
      <c r="G6" s="25">
        <f t="shared" si="0"/>
        <v>5.6666666666666652</v>
      </c>
    </row>
    <row r="7" spans="2:7" x14ac:dyDescent="0.25">
      <c r="B7" t="s">
        <v>118</v>
      </c>
      <c r="C7">
        <v>200</v>
      </c>
      <c r="D7" s="25">
        <v>7</v>
      </c>
      <c r="E7">
        <f t="shared" si="1"/>
        <v>300</v>
      </c>
      <c r="F7" s="27">
        <f t="shared" si="2"/>
        <v>1966.6666666666665</v>
      </c>
      <c r="G7" s="25">
        <f t="shared" si="0"/>
        <v>6.5555555555555554</v>
      </c>
    </row>
    <row r="8" spans="2:7" x14ac:dyDescent="0.25">
      <c r="B8" t="s">
        <v>160</v>
      </c>
      <c r="C8">
        <v>-100</v>
      </c>
      <c r="D8" s="25">
        <f>+G7</f>
        <v>6.5555555555555554</v>
      </c>
      <c r="E8">
        <f t="shared" si="1"/>
        <v>200</v>
      </c>
      <c r="F8" s="27">
        <f t="shared" si="2"/>
        <v>1311.1111111111109</v>
      </c>
      <c r="G8" s="25">
        <f t="shared" si="0"/>
        <v>6.5555555555555545</v>
      </c>
    </row>
    <row r="9" spans="2:7" x14ac:dyDescent="0.25">
      <c r="B9" t="s">
        <v>118</v>
      </c>
      <c r="C9">
        <v>300</v>
      </c>
      <c r="D9" s="25">
        <v>8</v>
      </c>
      <c r="E9">
        <f t="shared" si="1"/>
        <v>500</v>
      </c>
      <c r="F9" s="27">
        <f t="shared" si="2"/>
        <v>3711.1111111111109</v>
      </c>
      <c r="G9" s="25">
        <f t="shared" si="0"/>
        <v>7.4222222222222216</v>
      </c>
    </row>
    <row r="10" spans="2:7" x14ac:dyDescent="0.25">
      <c r="B10" t="s">
        <v>160</v>
      </c>
      <c r="C10">
        <v>-200</v>
      </c>
      <c r="D10" s="25">
        <f>+G9</f>
        <v>7.4222222222222216</v>
      </c>
      <c r="E10">
        <f t="shared" si="1"/>
        <v>300</v>
      </c>
      <c r="F10" s="28">
        <f t="shared" si="2"/>
        <v>2226.6666666666665</v>
      </c>
      <c r="G10" s="29">
        <f t="shared" si="0"/>
        <v>7.4222222222222216</v>
      </c>
    </row>
    <row r="11" spans="2:7" x14ac:dyDescent="0.25">
      <c r="D11" s="25"/>
    </row>
    <row r="12" spans="2:7" x14ac:dyDescent="0.25">
      <c r="B12" t="s">
        <v>161</v>
      </c>
      <c r="C12">
        <f>SUM(C4:C11)</f>
        <v>300</v>
      </c>
      <c r="D12" s="25"/>
    </row>
    <row r="15" spans="2:7" x14ac:dyDescent="0.25">
      <c r="B15" s="1" t="s">
        <v>184</v>
      </c>
    </row>
    <row r="17" spans="2:6" x14ac:dyDescent="0.25">
      <c r="B17" t="s">
        <v>118</v>
      </c>
      <c r="C17">
        <v>200</v>
      </c>
      <c r="D17" s="25">
        <v>6</v>
      </c>
      <c r="E17">
        <f>+D17*C17</f>
        <v>1200</v>
      </c>
    </row>
    <row r="18" spans="2:6" x14ac:dyDescent="0.25">
      <c r="D18" s="25"/>
    </row>
    <row r="19" spans="2:6" x14ac:dyDescent="0.25">
      <c r="B19" t="s">
        <v>118</v>
      </c>
      <c r="C19">
        <v>200</v>
      </c>
      <c r="D19" s="25">
        <v>7</v>
      </c>
      <c r="E19">
        <f>+D19*C19</f>
        <v>1400</v>
      </c>
    </row>
    <row r="20" spans="2:6" x14ac:dyDescent="0.25">
      <c r="D20" s="25"/>
    </row>
    <row r="21" spans="2:6" x14ac:dyDescent="0.25">
      <c r="B21" t="s">
        <v>118</v>
      </c>
      <c r="C21">
        <v>300</v>
      </c>
      <c r="D21" s="25">
        <v>8</v>
      </c>
      <c r="E21">
        <f>+D21*C21</f>
        <v>2400</v>
      </c>
    </row>
    <row r="22" spans="2:6" x14ac:dyDescent="0.25">
      <c r="C22">
        <f>SUM(C17:C21)</f>
        <v>700</v>
      </c>
      <c r="E22">
        <f>SUM(E17:E21)</f>
        <v>5000</v>
      </c>
      <c r="F22" s="1">
        <f>+E22/C22</f>
        <v>7.1428571428571432</v>
      </c>
    </row>
    <row r="24" spans="2:6" x14ac:dyDescent="0.25">
      <c r="B24" t="s">
        <v>185</v>
      </c>
    </row>
    <row r="27" spans="2:6" x14ac:dyDescent="0.25">
      <c r="B27" s="1" t="s">
        <v>186</v>
      </c>
    </row>
    <row r="29" spans="2:6" x14ac:dyDescent="0.25">
      <c r="B29" t="s">
        <v>159</v>
      </c>
      <c r="C29">
        <v>100</v>
      </c>
      <c r="D29" s="25">
        <v>5</v>
      </c>
      <c r="E29">
        <f>+D29*C29</f>
        <v>500</v>
      </c>
    </row>
    <row r="30" spans="2:6" x14ac:dyDescent="0.25">
      <c r="B30" t="s">
        <v>118</v>
      </c>
      <c r="C30">
        <v>200</v>
      </c>
      <c r="D30" s="25">
        <v>6</v>
      </c>
      <c r="E30">
        <f>+D30*C30</f>
        <v>1200</v>
      </c>
    </row>
    <row r="31" spans="2:6" x14ac:dyDescent="0.25">
      <c r="D31" s="25"/>
    </row>
    <row r="32" spans="2:6" x14ac:dyDescent="0.25">
      <c r="B32" t="s">
        <v>118</v>
      </c>
      <c r="C32">
        <v>200</v>
      </c>
      <c r="D32" s="25">
        <v>7</v>
      </c>
      <c r="E32">
        <f>+D32*C32</f>
        <v>1400</v>
      </c>
    </row>
    <row r="33" spans="2:8" x14ac:dyDescent="0.25">
      <c r="D33" s="25"/>
    </row>
    <row r="34" spans="2:8" x14ac:dyDescent="0.25">
      <c r="B34" t="s">
        <v>118</v>
      </c>
      <c r="C34">
        <v>300</v>
      </c>
      <c r="D34" s="25">
        <v>8</v>
      </c>
      <c r="E34">
        <f>+D34*C34</f>
        <v>2400</v>
      </c>
    </row>
    <row r="35" spans="2:8" x14ac:dyDescent="0.25">
      <c r="C35">
        <f>SUM(C29:C34)</f>
        <v>800</v>
      </c>
      <c r="E35">
        <f>SUM(E29:E34)</f>
        <v>5500</v>
      </c>
      <c r="F35" s="1">
        <f>+E35/C35</f>
        <v>6.875</v>
      </c>
      <c r="G35">
        <v>300</v>
      </c>
      <c r="H35" s="29">
        <f>+G35*F35</f>
        <v>2062.5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31</vt:i4>
      </vt:variant>
    </vt:vector>
  </HeadingPairs>
  <TitlesOfParts>
    <vt:vector size="31" baseType="lpstr">
      <vt:lpstr>Foglio2</vt:lpstr>
      <vt:lpstr>Foglio3</vt:lpstr>
      <vt:lpstr>Foglio4</vt:lpstr>
      <vt:lpstr>Foglio5</vt:lpstr>
      <vt:lpstr>Foglio6</vt:lpstr>
      <vt:lpstr>Foglio7</vt:lpstr>
      <vt:lpstr>Foglio8</vt:lpstr>
      <vt:lpstr>Foglio1</vt:lpstr>
      <vt:lpstr>Foglio9</vt:lpstr>
      <vt:lpstr>config di costo</vt:lpstr>
      <vt:lpstr>es val riman</vt:lpstr>
      <vt:lpstr>OPERE IN CORSO</vt:lpstr>
      <vt:lpstr>val commesse</vt:lpstr>
      <vt:lpstr>eser commessa</vt:lpstr>
      <vt:lpstr>es commessa</vt:lpstr>
      <vt:lpstr>CESPITI</vt:lpstr>
      <vt:lpstr>rivalut</vt:lpstr>
      <vt:lpstr>AMMORTAMENTO</vt:lpstr>
      <vt:lpstr>svalut immob</vt:lpstr>
      <vt:lpstr>spese manutez</vt:lpstr>
      <vt:lpstr>es. sval immob</vt:lpstr>
      <vt:lpstr>amm fiscali e leasing</vt:lpstr>
      <vt:lpstr>es svaluataz imm</vt:lpstr>
      <vt:lpstr>es vendita macchinario</vt:lpstr>
      <vt:lpstr>Titoli e partecip</vt:lpstr>
      <vt:lpstr>Foglio24</vt:lpstr>
      <vt:lpstr>Foglio10</vt:lpstr>
      <vt:lpstr>Foglio11</vt:lpstr>
      <vt:lpstr>Foglio12</vt:lpstr>
      <vt:lpstr>Foglio13</vt:lpstr>
      <vt:lpstr>Foglio14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 Albertinazzi</cp:lastModifiedBy>
  <dcterms:created xsi:type="dcterms:W3CDTF">2021-02-22T09:59:39Z</dcterms:created>
  <dcterms:modified xsi:type="dcterms:W3CDTF">2022-04-04T14:50:50Z</dcterms:modified>
</cp:coreProperties>
</file>