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agioneria\"/>
    </mc:Choice>
  </mc:AlternateContent>
  <xr:revisionPtr revIDLastSave="0" documentId="13_ncr:1_{6A883F17-D6ED-434D-9A1F-41F15E3F426B}" xr6:coauthVersionLast="47" xr6:coauthVersionMax="47" xr10:uidLastSave="{00000000-0000-0000-0000-000000000000}"/>
  <bookViews>
    <workbookView xWindow="-120" yWindow="-120" windowWidth="29040" windowHeight="15720" activeTab="3" xr2:uid="{19A59103-2B3C-48FB-94D6-3765C5B341F4}"/>
  </bookViews>
  <sheets>
    <sheet name="ES 1" sheetId="1" r:id="rId1"/>
    <sheet name="ES 2" sheetId="2" r:id="rId2"/>
    <sheet name="es 3" sheetId="3" r:id="rId3"/>
    <sheet name="Foglio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0" i="4" l="1"/>
  <c r="J38" i="4"/>
  <c r="J36" i="4"/>
  <c r="I57" i="4"/>
  <c r="I55" i="4"/>
  <c r="I53" i="4"/>
  <c r="I51" i="4"/>
  <c r="I47" i="4"/>
  <c r="J35" i="4"/>
  <c r="J34" i="4"/>
  <c r="J33" i="4"/>
  <c r="J31" i="4"/>
  <c r="J27" i="4"/>
  <c r="J24" i="4"/>
  <c r="J18" i="4"/>
  <c r="J16" i="4"/>
  <c r="I16" i="4"/>
  <c r="H16" i="4"/>
  <c r="J14" i="4"/>
  <c r="I14" i="4"/>
  <c r="H14" i="4"/>
  <c r="J12" i="4"/>
  <c r="I12" i="4"/>
  <c r="H12" i="4"/>
  <c r="J10" i="4"/>
  <c r="J8" i="4"/>
  <c r="F14" i="3"/>
  <c r="F12" i="3"/>
  <c r="F10" i="3"/>
  <c r="F8" i="3"/>
  <c r="F7" i="3"/>
  <c r="G24" i="2"/>
  <c r="F24" i="2"/>
  <c r="I20" i="2"/>
  <c r="H20" i="2"/>
  <c r="H18" i="2"/>
  <c r="H17" i="2"/>
  <c r="H16" i="2"/>
  <c r="G20" i="2"/>
  <c r="G19" i="2"/>
  <c r="G22" i="2"/>
  <c r="G18" i="2"/>
  <c r="G17" i="2"/>
  <c r="F20" i="2"/>
  <c r="F19" i="2"/>
  <c r="F22" i="2"/>
  <c r="F17" i="2"/>
  <c r="H12" i="2"/>
  <c r="H4" i="2"/>
  <c r="H10" i="2"/>
  <c r="F12" i="2"/>
  <c r="F10" i="2"/>
  <c r="J22" i="1"/>
  <c r="I22" i="1"/>
  <c r="H22" i="1"/>
  <c r="I14" i="1"/>
  <c r="I15" i="1"/>
  <c r="I13" i="1"/>
  <c r="I12" i="1"/>
  <c r="I11" i="1"/>
  <c r="I10" i="1"/>
  <c r="I9" i="1"/>
  <c r="I8" i="1"/>
  <c r="I7" i="1"/>
  <c r="I6" i="1"/>
  <c r="U6" i="1"/>
  <c r="T13" i="1"/>
  <c r="T12" i="1"/>
  <c r="T11" i="1"/>
  <c r="T10" i="1"/>
  <c r="T9" i="1"/>
  <c r="T8" i="1"/>
  <c r="T7" i="1"/>
  <c r="Q8" i="1"/>
  <c r="Q7" i="1"/>
  <c r="Q6" i="1"/>
  <c r="Q13" i="1" s="1"/>
  <c r="L11" i="1"/>
  <c r="L7" i="1"/>
  <c r="L6" i="1"/>
  <c r="L13" i="1" s="1"/>
  <c r="F18" i="1"/>
  <c r="F14" i="1"/>
  <c r="E14" i="1"/>
  <c r="G14" i="1" s="1"/>
  <c r="T14" i="1" l="1"/>
  <c r="T15" i="1" s="1"/>
  <c r="T17" i="1" s="1"/>
  <c r="S17" i="1"/>
  <c r="U17" i="1" s="1"/>
  <c r="U19" i="1" s="1"/>
  <c r="E18" i="1"/>
  <c r="G18" i="1" s="1"/>
</calcChain>
</file>

<file path=xl/sharedStrings.xml><?xml version="1.0" encoding="utf-8"?>
<sst xmlns="http://schemas.openxmlformats.org/spreadsheetml/2006/main" count="73" uniqueCount="70">
  <si>
    <t>Data</t>
  </si>
  <si>
    <t>Q.tà acquistate</t>
  </si>
  <si>
    <t>Q.tà vendute</t>
  </si>
  <si>
    <t>Prezzo di acquisto</t>
  </si>
  <si>
    <t xml:space="preserve">  5/12</t>
  </si>
  <si>
    <t>FIFO</t>
  </si>
  <si>
    <t>QUANTITA'</t>
  </si>
  <si>
    <t>COSTO</t>
  </si>
  <si>
    <t>lifo di periodo</t>
  </si>
  <si>
    <t>LIFO CONTINUO PER MOVIMENTO</t>
  </si>
  <si>
    <t>CMP ACQUISTO</t>
  </si>
  <si>
    <t>LIFO A SCATTI</t>
  </si>
  <si>
    <t>cmp di periodo</t>
  </si>
  <si>
    <t>totali:</t>
  </si>
  <si>
    <t>VALORE NETTO DI REALIZZO</t>
  </si>
  <si>
    <t xml:space="preserve">Costi di Produzione </t>
  </si>
  <si>
    <t xml:space="preserve">al 31.12.x1 </t>
  </si>
  <si>
    <t>al 31.12.x2</t>
  </si>
  <si>
    <t>al 31.12.x3</t>
  </si>
  <si>
    <t>PREZZO</t>
  </si>
  <si>
    <t>COSTI CONSUNTIVI</t>
  </si>
  <si>
    <t>previsione</t>
  </si>
  <si>
    <t>consuntivo</t>
  </si>
  <si>
    <t>ricavi</t>
  </si>
  <si>
    <t>costi di produzione</t>
  </si>
  <si>
    <t>rimanenze iniziali</t>
  </si>
  <si>
    <t>rimanenze finali</t>
  </si>
  <si>
    <t>margine</t>
  </si>
  <si>
    <t>PERCENT AVANZ</t>
  </si>
  <si>
    <t>RIDUZIONE DEL COSTO DEI MACCHINARI</t>
  </si>
  <si>
    <t xml:space="preserve">RIDUZIONE DEL FONDO AMMORAMENTO MACCHINARI </t>
  </si>
  <si>
    <t>QUOTA DI AMMORTAMENTO</t>
  </si>
  <si>
    <t>RIDUZIONE COMPLESSIVA DEL FONDO PER VANDITA MACCHINARI</t>
  </si>
  <si>
    <t>VALORE NETTO CONTABILE DEL MACCHINARIO VENDUTO</t>
  </si>
  <si>
    <t>plusvalenza</t>
  </si>
  <si>
    <t>prezzo di vendita del macchinario</t>
  </si>
  <si>
    <t>SCOMPOSIZIONE DEL PREZZO DI ACQUISTO</t>
  </si>
  <si>
    <t>PREZZO DI ACQUISTO</t>
  </si>
  <si>
    <t>PN</t>
  </si>
  <si>
    <t>DIFFERENZA</t>
  </si>
  <si>
    <t>PLUVALENZA IMMOBILI</t>
  </si>
  <si>
    <t>PLUSVALENZA TERRENI</t>
  </si>
  <si>
    <t>PLUSVALENZA IMPIANTI</t>
  </si>
  <si>
    <t>AVVIAMENTO</t>
  </si>
  <si>
    <t>valore corrente</t>
  </si>
  <si>
    <t>VALUTAZIONE PARTECIPAZIONE</t>
  </si>
  <si>
    <t>valore iniziale</t>
  </si>
  <si>
    <t>variazioni di esercizio:</t>
  </si>
  <si>
    <t>incasso dividendo</t>
  </si>
  <si>
    <t>cassa</t>
  </si>
  <si>
    <t>a</t>
  </si>
  <si>
    <t>partecipazione</t>
  </si>
  <si>
    <t>variazione di fine esercizio:</t>
  </si>
  <si>
    <t>utile</t>
  </si>
  <si>
    <t>ammortamento plusvalore immobili</t>
  </si>
  <si>
    <t>ammortamento plusvalore impianti</t>
  </si>
  <si>
    <t>ammortamento avviamento</t>
  </si>
  <si>
    <t>utile infragruppo per prodotto</t>
  </si>
  <si>
    <t>prodotti in magazzi con utile infragruppo</t>
  </si>
  <si>
    <t>utile infragruppo nel magazzino</t>
  </si>
  <si>
    <t>- effetto fiscale</t>
  </si>
  <si>
    <t>utile infragruppo nel magazzino netto</t>
  </si>
  <si>
    <t>utile infragruppo non realizzato</t>
  </si>
  <si>
    <t>totale utile rettificato</t>
  </si>
  <si>
    <t>partecip</t>
  </si>
  <si>
    <t>rivalutazione parteciopazione</t>
  </si>
  <si>
    <t>valore finale</t>
  </si>
  <si>
    <t>costo netto</t>
  </si>
  <si>
    <t>imposte</t>
  </si>
  <si>
    <t>plusv netta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</si>
</sst>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8" formatCode="_-* #,##0.00\ _€_-;\-* #,##0.00\ _€_-;_-* &quot;-&quot;??\ _€_-;_-@_-"/>
    <numFmt numFmtId="169" formatCode="[$€-2]\ #,##0;[Red]\-[$€-2]\ #,##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rgb="FFFF0000"/>
      <name val="Aptos Narrow"/>
      <family val="2"/>
      <scheme val="minor"/>
    </font>
    <font>
      <sz val="10"/>
      <name val="Tahoma"/>
      <family val="2"/>
    </font>
    <font>
      <sz val="10"/>
      <color rgb="FF000000"/>
      <name val="Tahoma"/>
      <family val="2"/>
    </font>
    <font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" fontId="4" fillId="0" borderId="3" xfId="0" applyNumberFormat="1" applyFont="1" applyBorder="1" applyAlignment="1">
      <alignment vertical="center" wrapText="1"/>
    </xf>
    <xf numFmtId="3" fontId="0" fillId="0" borderId="0" xfId="0" applyNumberFormat="1"/>
    <xf numFmtId="3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6" fontId="4" fillId="0" borderId="3" xfId="0" applyNumberFormat="1" applyFont="1" applyBorder="1" applyAlignment="1">
      <alignment horizontal="center" vertical="center" wrapText="1"/>
    </xf>
    <xf numFmtId="43" fontId="0" fillId="0" borderId="0" xfId="1" applyFont="1"/>
    <xf numFmtId="0" fontId="3" fillId="0" borderId="0" xfId="0" applyFont="1"/>
    <xf numFmtId="43" fontId="3" fillId="0" borderId="0" xfId="1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0" xfId="0" applyBorder="1"/>
    <xf numFmtId="0" fontId="0" fillId="0" borderId="9" xfId="0" applyBorder="1"/>
    <xf numFmtId="0" fontId="0" fillId="0" borderId="8" xfId="0" applyBorder="1"/>
    <xf numFmtId="3" fontId="0" fillId="0" borderId="8" xfId="0" applyNumberFormat="1" applyBorder="1"/>
    <xf numFmtId="0" fontId="0" fillId="0" borderId="10" xfId="0" applyBorder="1"/>
    <xf numFmtId="43" fontId="3" fillId="0" borderId="11" xfId="1" applyFont="1" applyBorder="1"/>
    <xf numFmtId="0" fontId="3" fillId="0" borderId="11" xfId="0" applyFont="1" applyBorder="1"/>
    <xf numFmtId="0" fontId="0" fillId="0" borderId="11" xfId="0" applyBorder="1"/>
    <xf numFmtId="0" fontId="0" fillId="0" borderId="12" xfId="0" applyBorder="1"/>
    <xf numFmtId="168" fontId="0" fillId="0" borderId="0" xfId="0" applyNumberFormat="1"/>
    <xf numFmtId="0" fontId="3" fillId="0" borderId="8" xfId="0" applyFont="1" applyBorder="1"/>
    <xf numFmtId="0" fontId="3" fillId="0" borderId="0" xfId="0" applyFont="1" applyBorder="1"/>
    <xf numFmtId="43" fontId="0" fillId="0" borderId="9" xfId="1" applyFont="1" applyBorder="1"/>
    <xf numFmtId="0" fontId="3" fillId="0" borderId="10" xfId="0" applyFont="1" applyBorder="1"/>
    <xf numFmtId="168" fontId="3" fillId="0" borderId="12" xfId="0" applyNumberFormat="1" applyFont="1" applyBorder="1"/>
    <xf numFmtId="0" fontId="0" fillId="0" borderId="13" xfId="0" applyBorder="1"/>
    <xf numFmtId="43" fontId="0" fillId="0" borderId="14" xfId="1" applyFont="1" applyBorder="1"/>
    <xf numFmtId="0" fontId="0" fillId="0" borderId="14" xfId="0" applyBorder="1"/>
    <xf numFmtId="43" fontId="3" fillId="0" borderId="15" xfId="1" applyFont="1" applyBorder="1"/>
    <xf numFmtId="0" fontId="3" fillId="0" borderId="15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3" fontId="0" fillId="0" borderId="15" xfId="1" applyFont="1" applyBorder="1"/>
    <xf numFmtId="0" fontId="4" fillId="0" borderId="13" xfId="0" applyFont="1" applyFill="1" applyBorder="1" applyAlignment="1">
      <alignment horizontal="center" vertical="center" wrapText="1"/>
    </xf>
    <xf numFmtId="43" fontId="6" fillId="0" borderId="0" xfId="1" applyFont="1"/>
    <xf numFmtId="0" fontId="7" fillId="0" borderId="16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justify" vertical="center" wrapText="1"/>
    </xf>
    <xf numFmtId="0" fontId="8" fillId="0" borderId="18" xfId="0" applyFont="1" applyBorder="1" applyAlignment="1">
      <alignment horizontal="justify" vertical="center" wrapText="1"/>
    </xf>
    <xf numFmtId="169" fontId="0" fillId="0" borderId="0" xfId="0" applyNumberFormat="1"/>
    <xf numFmtId="169" fontId="8" fillId="0" borderId="19" xfId="0" applyNumberFormat="1" applyFont="1" applyBorder="1" applyAlignment="1">
      <alignment horizontal="center" vertical="center" wrapText="1"/>
    </xf>
    <xf numFmtId="43" fontId="2" fillId="0" borderId="0" xfId="1" applyFont="1"/>
    <xf numFmtId="9" fontId="0" fillId="0" borderId="0" xfId="2" applyFont="1"/>
    <xf numFmtId="43" fontId="0" fillId="0" borderId="0" xfId="0" applyNumberFormat="1"/>
    <xf numFmtId="9" fontId="0" fillId="0" borderId="0" xfId="0" applyNumberFormat="1"/>
    <xf numFmtId="43" fontId="0" fillId="2" borderId="0" xfId="1" applyFont="1" applyFill="1"/>
    <xf numFmtId="0" fontId="9" fillId="0" borderId="0" xfId="0" applyFont="1"/>
    <xf numFmtId="0" fontId="0" fillId="0" borderId="0" xfId="0" quotePrefix="1"/>
    <xf numFmtId="9" fontId="0" fillId="0" borderId="0" xfId="1" applyNumberFormat="1" applyFon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7503B-BE8D-4E27-8BDF-E12F58A1CF5C}">
  <dimension ref="D4:U22"/>
  <sheetViews>
    <sheetView topLeftCell="A8" zoomScale="180" zoomScaleNormal="180" workbookViewId="0">
      <selection activeCell="J22" sqref="J22"/>
    </sheetView>
  </sheetViews>
  <sheetFormatPr defaultRowHeight="15" x14ac:dyDescent="0.25"/>
  <cols>
    <col min="7" max="7" width="11.5703125" bestFit="1" customWidth="1"/>
    <col min="8" max="9" width="11.5703125" customWidth="1"/>
    <col min="10" max="10" width="11.5703125" bestFit="1" customWidth="1"/>
    <col min="12" max="12" width="11.5703125" bestFit="1" customWidth="1"/>
    <col min="16" max="16" width="9.140625" customWidth="1"/>
    <col min="17" max="17" width="12.7109375" customWidth="1"/>
    <col min="21" max="21" width="13.140625" bestFit="1" customWidth="1"/>
  </cols>
  <sheetData>
    <row r="4" spans="4:21" ht="15.75" thickBot="1" x14ac:dyDescent="0.3"/>
    <row r="5" spans="4:21" ht="39" thickBot="1" x14ac:dyDescent="0.3">
      <c r="D5" s="1" t="s">
        <v>0</v>
      </c>
      <c r="E5" s="2" t="s">
        <v>1</v>
      </c>
      <c r="F5" s="2" t="s">
        <v>2</v>
      </c>
      <c r="G5" s="2" t="s">
        <v>3</v>
      </c>
      <c r="H5" s="38"/>
      <c r="I5" s="40" t="s">
        <v>12</v>
      </c>
      <c r="K5" s="13"/>
      <c r="L5" s="14"/>
      <c r="M5" s="14"/>
      <c r="N5" s="14"/>
      <c r="O5" s="15"/>
      <c r="Q5" s="33"/>
      <c r="S5" s="13"/>
      <c r="T5" s="14"/>
      <c r="U5" s="15"/>
    </row>
    <row r="6" spans="4:21" ht="15.75" thickBot="1" x14ac:dyDescent="0.3">
      <c r="D6" s="9">
        <v>46023</v>
      </c>
      <c r="E6" s="8">
        <v>8000</v>
      </c>
      <c r="F6" s="8"/>
      <c r="G6" s="8">
        <v>5</v>
      </c>
      <c r="H6" s="38"/>
      <c r="I6" s="41">
        <f>+G6*E6</f>
        <v>40000</v>
      </c>
      <c r="K6" s="16">
        <v>8000</v>
      </c>
      <c r="L6" s="17">
        <f>+K6*G6</f>
        <v>40000</v>
      </c>
      <c r="M6" s="18"/>
      <c r="N6" s="18"/>
      <c r="O6" s="19"/>
      <c r="Q6" s="34">
        <f>+G6*E6</f>
        <v>40000</v>
      </c>
      <c r="S6" s="28">
        <v>8000</v>
      </c>
      <c r="T6" s="29">
        <v>5</v>
      </c>
      <c r="U6" s="30">
        <f>+T6*S6</f>
        <v>40000</v>
      </c>
    </row>
    <row r="7" spans="4:21" ht="15.75" thickBot="1" x14ac:dyDescent="0.3">
      <c r="D7" s="3">
        <v>46113</v>
      </c>
      <c r="E7" s="5">
        <v>12000</v>
      </c>
      <c r="F7" s="6"/>
      <c r="G7" s="6">
        <v>5.5</v>
      </c>
      <c r="H7" s="39"/>
      <c r="I7" s="41">
        <f t="shared" ref="I7:I12" si="0">+G7*E7</f>
        <v>66000</v>
      </c>
      <c r="K7" s="20">
        <v>9000</v>
      </c>
      <c r="L7" s="17">
        <f>+K7*G7</f>
        <v>49500</v>
      </c>
      <c r="M7" s="18"/>
      <c r="N7" s="18"/>
      <c r="O7" s="19"/>
      <c r="Q7" s="34">
        <f>+G7*E7</f>
        <v>66000</v>
      </c>
      <c r="S7" s="20"/>
      <c r="T7" s="18">
        <f>+G7*E7</f>
        <v>66000</v>
      </c>
      <c r="U7" s="19"/>
    </row>
    <row r="8" spans="4:21" ht="15.75" thickBot="1" x14ac:dyDescent="0.3">
      <c r="D8" s="3">
        <v>46186</v>
      </c>
      <c r="E8" s="5">
        <v>17000</v>
      </c>
      <c r="F8" s="6"/>
      <c r="G8" s="6">
        <v>5.8</v>
      </c>
      <c r="H8" s="39"/>
      <c r="I8" s="41">
        <f t="shared" si="0"/>
        <v>98600</v>
      </c>
      <c r="K8" s="21"/>
      <c r="L8" s="17"/>
      <c r="M8" s="18"/>
      <c r="N8" s="18"/>
      <c r="O8" s="19"/>
      <c r="Q8" s="34">
        <f>2000*G8</f>
        <v>11600</v>
      </c>
      <c r="S8" s="20"/>
      <c r="T8" s="18">
        <f t="shared" ref="T8:T13" si="1">+G8*E8</f>
        <v>98600</v>
      </c>
      <c r="U8" s="19"/>
    </row>
    <row r="9" spans="4:21" ht="15.75" thickBot="1" x14ac:dyDescent="0.3">
      <c r="D9" s="3">
        <v>46224</v>
      </c>
      <c r="E9" s="5">
        <v>42000</v>
      </c>
      <c r="F9" s="6"/>
      <c r="G9" s="6">
        <v>6.1</v>
      </c>
      <c r="H9" s="39"/>
      <c r="I9" s="41">
        <f t="shared" si="0"/>
        <v>256199.99999999997</v>
      </c>
      <c r="J9" s="4"/>
      <c r="K9" s="21"/>
      <c r="L9" s="17"/>
      <c r="M9" s="18"/>
      <c r="N9" s="18"/>
      <c r="O9" s="19"/>
      <c r="Q9" s="35"/>
      <c r="S9" s="20"/>
      <c r="T9" s="18">
        <f t="shared" si="1"/>
        <v>256199.99999999997</v>
      </c>
      <c r="U9" s="19"/>
    </row>
    <row r="10" spans="4:21" ht="15.75" thickBot="1" x14ac:dyDescent="0.3">
      <c r="D10" s="3">
        <v>46289</v>
      </c>
      <c r="E10" s="6"/>
      <c r="F10" s="5">
        <v>62000</v>
      </c>
      <c r="G10" s="6"/>
      <c r="H10" s="39"/>
      <c r="I10" s="41">
        <f t="shared" si="0"/>
        <v>0</v>
      </c>
      <c r="K10" s="20"/>
      <c r="L10" s="17"/>
      <c r="M10" s="18"/>
      <c r="N10" s="18"/>
      <c r="O10" s="19"/>
      <c r="Q10" s="35"/>
      <c r="S10" s="20"/>
      <c r="T10" s="18">
        <f t="shared" si="1"/>
        <v>0</v>
      </c>
      <c r="U10" s="19"/>
    </row>
    <row r="11" spans="4:21" ht="15.75" thickBot="1" x14ac:dyDescent="0.3">
      <c r="D11" s="3">
        <v>46312</v>
      </c>
      <c r="E11" s="5">
        <v>27000</v>
      </c>
      <c r="F11" s="6"/>
      <c r="G11" s="6">
        <v>6.5</v>
      </c>
      <c r="H11" s="39"/>
      <c r="I11" s="41">
        <f t="shared" si="0"/>
        <v>175500</v>
      </c>
      <c r="K11" s="20">
        <v>5000</v>
      </c>
      <c r="L11" s="17">
        <f>+K11*G11</f>
        <v>32500</v>
      </c>
      <c r="M11" s="18"/>
      <c r="N11" s="18"/>
      <c r="O11" s="19"/>
      <c r="Q11" s="35"/>
      <c r="S11" s="20"/>
      <c r="T11" s="18">
        <f t="shared" si="1"/>
        <v>175500</v>
      </c>
      <c r="U11" s="19"/>
    </row>
    <row r="12" spans="4:21" ht="15.75" thickBot="1" x14ac:dyDescent="0.3">
      <c r="D12" s="7" t="s">
        <v>4</v>
      </c>
      <c r="E12" s="6"/>
      <c r="F12" s="5">
        <v>22000</v>
      </c>
      <c r="G12" s="6"/>
      <c r="H12" s="39"/>
      <c r="I12" s="41">
        <f t="shared" si="0"/>
        <v>0</v>
      </c>
      <c r="K12" s="20"/>
      <c r="L12" s="18"/>
      <c r="M12" s="18"/>
      <c r="N12" s="18"/>
      <c r="O12" s="19"/>
      <c r="Q12" s="35"/>
      <c r="S12" s="20"/>
      <c r="T12" s="18">
        <f t="shared" si="1"/>
        <v>0</v>
      </c>
      <c r="U12" s="19"/>
    </row>
    <row r="13" spans="4:21" x14ac:dyDescent="0.25">
      <c r="I13" s="44">
        <f>SUM(I6:I12)</f>
        <v>636300</v>
      </c>
      <c r="K13" s="22"/>
      <c r="L13" s="23">
        <f>SUM(L5:L12)</f>
        <v>122000</v>
      </c>
      <c r="M13" s="24" t="s">
        <v>9</v>
      </c>
      <c r="N13" s="25"/>
      <c r="O13" s="26"/>
      <c r="Q13" s="36">
        <f>SUM(Q5:Q12)</f>
        <v>117600</v>
      </c>
      <c r="S13" s="20"/>
      <c r="T13" s="18">
        <f t="shared" si="1"/>
        <v>0</v>
      </c>
      <c r="U13" s="19"/>
    </row>
    <row r="14" spans="4:21" x14ac:dyDescent="0.25">
      <c r="D14" t="s">
        <v>13</v>
      </c>
      <c r="E14">
        <f>SUM(E6:E12)</f>
        <v>106000</v>
      </c>
      <c r="F14">
        <f>SUM(F6:F12)</f>
        <v>84000</v>
      </c>
      <c r="G14">
        <f>+E14-F14</f>
        <v>22000</v>
      </c>
      <c r="I14" s="42">
        <f>+I13/E14</f>
        <v>6.002830188679245</v>
      </c>
      <c r="Q14" s="37" t="s">
        <v>8</v>
      </c>
      <c r="S14" s="20"/>
      <c r="T14" s="18">
        <f>SUM(T7:T13)</f>
        <v>596300</v>
      </c>
      <c r="U14" s="19"/>
    </row>
    <row r="15" spans="4:21" x14ac:dyDescent="0.25">
      <c r="I15" s="43">
        <f>+I14*G14</f>
        <v>132062.2641509434</v>
      </c>
      <c r="S15" s="20"/>
      <c r="T15" s="18">
        <f>+T14/SUM(E7:E11)</f>
        <v>6.08469387755102</v>
      </c>
      <c r="U15" s="19" t="s">
        <v>10</v>
      </c>
    </row>
    <row r="16" spans="4:21" x14ac:dyDescent="0.25">
      <c r="S16" s="20"/>
      <c r="T16" s="18"/>
      <c r="U16" s="19"/>
    </row>
    <row r="17" spans="4:21" x14ac:dyDescent="0.25">
      <c r="D17" s="11" t="s">
        <v>5</v>
      </c>
      <c r="E17" t="s">
        <v>6</v>
      </c>
      <c r="F17" t="s">
        <v>7</v>
      </c>
      <c r="S17" s="28">
        <f>+G14-E6</f>
        <v>14000</v>
      </c>
      <c r="T17" s="29">
        <f>+T15</f>
        <v>6.08469387755102</v>
      </c>
      <c r="U17" s="30">
        <f>+T17*S17</f>
        <v>85185.714285714275</v>
      </c>
    </row>
    <row r="18" spans="4:21" x14ac:dyDescent="0.25">
      <c r="E18">
        <f>+G14</f>
        <v>22000</v>
      </c>
      <c r="F18">
        <f>+G11</f>
        <v>6.5</v>
      </c>
      <c r="G18" s="12">
        <f>+F18*E18</f>
        <v>143000</v>
      </c>
      <c r="H18" s="12"/>
      <c r="I18" s="12"/>
      <c r="S18" s="20"/>
      <c r="T18" s="18"/>
      <c r="U18" s="19"/>
    </row>
    <row r="19" spans="4:21" x14ac:dyDescent="0.25">
      <c r="S19" s="31" t="s">
        <v>11</v>
      </c>
      <c r="T19" s="24"/>
      <c r="U19" s="32">
        <f>+U17+U6</f>
        <v>125185.71428571428</v>
      </c>
    </row>
    <row r="22" spans="4:21" x14ac:dyDescent="0.25">
      <c r="D22" t="s">
        <v>14</v>
      </c>
      <c r="G22">
        <v>8</v>
      </c>
      <c r="H22">
        <f>-G22*0.2</f>
        <v>-1.6</v>
      </c>
      <c r="I22">
        <f>+G22+H22</f>
        <v>6.4</v>
      </c>
      <c r="J22" s="45">
        <f>+I22*G14</f>
        <v>140800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7F42-42DA-48E1-B43A-7D1029EFE331}">
  <dimension ref="E2:I24"/>
  <sheetViews>
    <sheetView topLeftCell="A8" zoomScale="190" zoomScaleNormal="190" workbookViewId="0">
      <selection activeCell="G24" sqref="G24"/>
    </sheetView>
  </sheetViews>
  <sheetFormatPr defaultRowHeight="15" x14ac:dyDescent="0.25"/>
  <cols>
    <col min="5" max="5" width="15" customWidth="1"/>
    <col min="6" max="6" width="17.5703125" customWidth="1"/>
    <col min="7" max="7" width="15.7109375" customWidth="1"/>
    <col min="8" max="8" width="17.5703125" style="10" customWidth="1"/>
    <col min="9" max="9" width="10.7109375" bestFit="1" customWidth="1"/>
  </cols>
  <sheetData>
    <row r="2" spans="5:8" x14ac:dyDescent="0.25">
      <c r="F2" t="s">
        <v>21</v>
      </c>
      <c r="H2" s="10" t="s">
        <v>22</v>
      </c>
    </row>
    <row r="4" spans="5:8" x14ac:dyDescent="0.25">
      <c r="E4" t="s">
        <v>19</v>
      </c>
      <c r="F4" s="10">
        <v>250000</v>
      </c>
      <c r="H4" s="10">
        <f>+F4</f>
        <v>250000</v>
      </c>
    </row>
    <row r="5" spans="5:8" ht="15.75" thickBot="1" x14ac:dyDescent="0.3"/>
    <row r="6" spans="5:8" ht="39" thickBot="1" x14ac:dyDescent="0.3">
      <c r="E6" s="46"/>
      <c r="F6" s="47" t="s">
        <v>15</v>
      </c>
      <c r="H6" s="10" t="s">
        <v>20</v>
      </c>
    </row>
    <row r="7" spans="5:8" ht="26.25" thickBot="1" x14ac:dyDescent="0.3">
      <c r="E7" s="48" t="s">
        <v>16</v>
      </c>
      <c r="F7" s="50">
        <v>40000</v>
      </c>
      <c r="H7" s="10">
        <v>40000</v>
      </c>
    </row>
    <row r="8" spans="5:8" ht="26.25" thickBot="1" x14ac:dyDescent="0.3">
      <c r="E8" s="48" t="s">
        <v>17</v>
      </c>
      <c r="F8" s="50">
        <v>60000</v>
      </c>
      <c r="H8" s="10">
        <v>75000</v>
      </c>
    </row>
    <row r="9" spans="5:8" ht="15.75" thickBot="1" x14ac:dyDescent="0.3">
      <c r="E9" s="48" t="s">
        <v>18</v>
      </c>
      <c r="F9" s="50">
        <v>67500</v>
      </c>
      <c r="H9" s="51">
        <v>80000</v>
      </c>
    </row>
    <row r="10" spans="5:8" x14ac:dyDescent="0.25">
      <c r="F10" s="49">
        <f>SUM(F7:F9)</f>
        <v>167500</v>
      </c>
      <c r="H10" s="10">
        <f>SUM(H7:H9)</f>
        <v>195000</v>
      </c>
    </row>
    <row r="12" spans="5:8" x14ac:dyDescent="0.25">
      <c r="F12" s="49">
        <f>+F4-F10</f>
        <v>82500</v>
      </c>
      <c r="H12" s="49">
        <f>+H4-H10</f>
        <v>55000</v>
      </c>
    </row>
    <row r="15" spans="5:8" x14ac:dyDescent="0.25">
      <c r="F15">
        <v>1</v>
      </c>
      <c r="G15">
        <v>2</v>
      </c>
      <c r="H15" s="10">
        <v>3</v>
      </c>
    </row>
    <row r="16" spans="5:8" x14ac:dyDescent="0.25">
      <c r="E16" t="s">
        <v>23</v>
      </c>
      <c r="F16" s="10">
        <v>0</v>
      </c>
      <c r="G16" s="10">
        <v>0</v>
      </c>
      <c r="H16" s="10">
        <f>+H4</f>
        <v>250000</v>
      </c>
    </row>
    <row r="17" spans="5:9" x14ac:dyDescent="0.25">
      <c r="E17" t="s">
        <v>24</v>
      </c>
      <c r="F17" s="10">
        <f>+F7</f>
        <v>40000</v>
      </c>
      <c r="G17" s="10">
        <f>+H8</f>
        <v>75000</v>
      </c>
      <c r="H17" s="10">
        <f>+H9</f>
        <v>80000</v>
      </c>
    </row>
    <row r="18" spans="5:9" x14ac:dyDescent="0.25">
      <c r="E18" t="s">
        <v>25</v>
      </c>
      <c r="F18" s="10">
        <v>0</v>
      </c>
      <c r="G18" s="10">
        <f>+F19</f>
        <v>59701.492537313432</v>
      </c>
      <c r="H18" s="10">
        <f>+G19</f>
        <v>147435.89743589744</v>
      </c>
    </row>
    <row r="19" spans="5:9" x14ac:dyDescent="0.25">
      <c r="E19" t="s">
        <v>26</v>
      </c>
      <c r="F19" s="10">
        <f>+F4*F22</f>
        <v>59701.492537313432</v>
      </c>
      <c r="G19" s="10">
        <f>+H4*G22</f>
        <v>147435.89743589744</v>
      </c>
      <c r="H19" s="10">
        <v>0</v>
      </c>
    </row>
    <row r="20" spans="5:9" x14ac:dyDescent="0.25">
      <c r="E20" s="11" t="s">
        <v>27</v>
      </c>
      <c r="F20" s="12">
        <f>+F16-F17-F18+F19</f>
        <v>19701.492537313432</v>
      </c>
      <c r="G20" s="12">
        <f>+G16-G17-G18+G19</f>
        <v>12734.404898584005</v>
      </c>
      <c r="H20" s="12">
        <f>+H16-H17-H18+H19</f>
        <v>22564.102564102563</v>
      </c>
      <c r="I20" s="53">
        <f>SUM(F20:H20)</f>
        <v>55000</v>
      </c>
    </row>
    <row r="22" spans="5:9" x14ac:dyDescent="0.25">
      <c r="E22" t="s">
        <v>28</v>
      </c>
      <c r="F22" s="52">
        <f>+F7/F10</f>
        <v>0.23880597014925373</v>
      </c>
      <c r="G22" s="52">
        <f>+(H7+H8)/H10</f>
        <v>0.58974358974358976</v>
      </c>
    </row>
    <row r="24" spans="5:9" x14ac:dyDescent="0.25">
      <c r="E24" t="s">
        <v>14</v>
      </c>
      <c r="F24" s="49">
        <f>+F4-F8-F9</f>
        <v>122500</v>
      </c>
      <c r="G24" s="27">
        <f>+H16-H17</f>
        <v>170000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65A21-3B38-4B8E-B5BC-A607C79313F6}">
  <dimension ref="D7:G14"/>
  <sheetViews>
    <sheetView topLeftCell="B1" zoomScale="210" zoomScaleNormal="210" workbookViewId="0">
      <selection activeCell="H10" sqref="H10"/>
    </sheetView>
  </sheetViews>
  <sheetFormatPr defaultRowHeight="15" x14ac:dyDescent="0.25"/>
  <cols>
    <col min="1" max="3" width="9.140625" style="10"/>
    <col min="4" max="4" width="12.140625" style="10" bestFit="1" customWidth="1"/>
    <col min="5" max="6" width="11" style="10" bestFit="1" customWidth="1"/>
    <col min="7" max="16384" width="9.140625" style="10"/>
  </cols>
  <sheetData>
    <row r="7" spans="4:7" x14ac:dyDescent="0.25">
      <c r="D7" s="10">
        <v>132000</v>
      </c>
      <c r="E7" s="10">
        <v>78000</v>
      </c>
      <c r="F7" s="10">
        <f>+D7-E7</f>
        <v>54000</v>
      </c>
      <c r="G7" s="10" t="s">
        <v>29</v>
      </c>
    </row>
    <row r="8" spans="4:7" x14ac:dyDescent="0.25">
      <c r="D8" s="10">
        <v>66000</v>
      </c>
      <c r="E8" s="10">
        <v>56925</v>
      </c>
      <c r="F8" s="10">
        <f>+D8-E8</f>
        <v>9075</v>
      </c>
      <c r="G8" s="10" t="s">
        <v>30</v>
      </c>
    </row>
    <row r="9" spans="4:7" x14ac:dyDescent="0.25">
      <c r="F9" s="10">
        <v>7425</v>
      </c>
      <c r="G9" s="10" t="s">
        <v>31</v>
      </c>
    </row>
    <row r="10" spans="4:7" x14ac:dyDescent="0.25">
      <c r="F10" s="10">
        <f>+F9+F8</f>
        <v>16500</v>
      </c>
      <c r="G10" s="10" t="s">
        <v>32</v>
      </c>
    </row>
    <row r="12" spans="4:7" x14ac:dyDescent="0.25">
      <c r="F12" s="10">
        <f>+F7-F10</f>
        <v>37500</v>
      </c>
      <c r="G12" s="10" t="s">
        <v>33</v>
      </c>
    </row>
    <row r="13" spans="4:7" x14ac:dyDescent="0.25">
      <c r="F13" s="10">
        <v>1500</v>
      </c>
      <c r="G13" s="10" t="s">
        <v>34</v>
      </c>
    </row>
    <row r="14" spans="4:7" x14ac:dyDescent="0.25">
      <c r="F14" s="12">
        <f>+F13+F12</f>
        <v>39000</v>
      </c>
      <c r="G14" s="10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7362D-594E-44C1-A3B8-3C56F3AF073C}">
  <dimension ref="C3:N67"/>
  <sheetViews>
    <sheetView tabSelected="1" topLeftCell="E3" zoomScale="210" zoomScaleNormal="210" workbookViewId="0">
      <selection activeCell="E12" sqref="E12"/>
    </sheetView>
  </sheetViews>
  <sheetFormatPr defaultRowHeight="15" x14ac:dyDescent="0.25"/>
  <cols>
    <col min="6" max="6" width="13.28515625" bestFit="1" customWidth="1"/>
    <col min="7" max="7" width="11.7109375" bestFit="1" customWidth="1"/>
    <col min="8" max="8" width="10.85546875" customWidth="1"/>
    <col min="9" max="9" width="11.7109375" bestFit="1" customWidth="1"/>
    <col min="10" max="10" width="10.7109375" bestFit="1" customWidth="1"/>
  </cols>
  <sheetData>
    <row r="3" spans="3:11" x14ac:dyDescent="0.25">
      <c r="C3" s="11" t="s">
        <v>36</v>
      </c>
    </row>
    <row r="5" spans="3:11" x14ac:dyDescent="0.25">
      <c r="I5" s="54">
        <v>1</v>
      </c>
      <c r="J5" s="54">
        <v>0.4</v>
      </c>
    </row>
    <row r="7" spans="3:11" x14ac:dyDescent="0.25">
      <c r="C7" t="s">
        <v>37</v>
      </c>
      <c r="G7" s="10"/>
      <c r="H7" s="10"/>
      <c r="I7" s="10"/>
      <c r="J7" s="10">
        <v>80000</v>
      </c>
      <c r="K7" s="10"/>
    </row>
    <row r="8" spans="3:11" x14ac:dyDescent="0.25">
      <c r="C8" t="s">
        <v>38</v>
      </c>
      <c r="G8" s="10"/>
      <c r="H8" s="10"/>
      <c r="I8" s="10">
        <v>160000</v>
      </c>
      <c r="J8" s="55">
        <f>+I8*J5</f>
        <v>64000</v>
      </c>
      <c r="K8" s="10"/>
    </row>
    <row r="9" spans="3:11" x14ac:dyDescent="0.25">
      <c r="G9" s="10"/>
      <c r="H9" s="10"/>
      <c r="I9" s="10"/>
      <c r="J9" s="10"/>
      <c r="K9" s="10"/>
    </row>
    <row r="10" spans="3:11" x14ac:dyDescent="0.25">
      <c r="C10" t="s">
        <v>39</v>
      </c>
      <c r="G10" s="10"/>
      <c r="H10" s="10"/>
      <c r="I10" s="10"/>
      <c r="J10" s="10">
        <f>+J7-J8</f>
        <v>16000</v>
      </c>
      <c r="K10" s="10"/>
    </row>
    <row r="11" spans="3:11" x14ac:dyDescent="0.25">
      <c r="F11" t="s">
        <v>44</v>
      </c>
      <c r="G11" s="10" t="s">
        <v>67</v>
      </c>
      <c r="H11" s="10" t="s">
        <v>68</v>
      </c>
      <c r="I11" s="10" t="s">
        <v>69</v>
      </c>
      <c r="J11" s="10"/>
      <c r="K11" s="10"/>
    </row>
    <row r="12" spans="3:11" x14ac:dyDescent="0.25">
      <c r="C12" t="s">
        <v>40</v>
      </c>
      <c r="F12" s="10">
        <v>250000</v>
      </c>
      <c r="G12" s="10">
        <v>220000</v>
      </c>
      <c r="H12" s="10">
        <f>+(F12-G12)*0.3</f>
        <v>9000</v>
      </c>
      <c r="I12" s="10">
        <f>+F12-G12-H12</f>
        <v>21000</v>
      </c>
      <c r="J12" s="55">
        <f>+I12*J5</f>
        <v>8400</v>
      </c>
      <c r="K12" s="10"/>
    </row>
    <row r="13" spans="3:11" x14ac:dyDescent="0.25">
      <c r="G13" s="10"/>
      <c r="H13" s="10"/>
      <c r="I13" s="10"/>
      <c r="J13" s="10"/>
      <c r="K13" s="10"/>
    </row>
    <row r="14" spans="3:11" x14ac:dyDescent="0.25">
      <c r="C14" t="s">
        <v>41</v>
      </c>
      <c r="F14" s="10">
        <v>50000</v>
      </c>
      <c r="G14" s="10">
        <v>42000</v>
      </c>
      <c r="H14" s="10">
        <f>+(F14-G14)*0.3</f>
        <v>2400</v>
      </c>
      <c r="I14" s="10">
        <f>+F14-G14-H14</f>
        <v>5600</v>
      </c>
      <c r="J14" s="55">
        <f>+I14*J5</f>
        <v>2240</v>
      </c>
      <c r="K14" s="10"/>
    </row>
    <row r="15" spans="3:11" x14ac:dyDescent="0.25">
      <c r="G15" s="10"/>
      <c r="H15" s="10"/>
      <c r="I15" s="10"/>
      <c r="J15" s="10"/>
      <c r="K15" s="10"/>
    </row>
    <row r="16" spans="3:11" x14ac:dyDescent="0.25">
      <c r="C16" t="s">
        <v>42</v>
      </c>
      <c r="F16" s="10">
        <v>130000</v>
      </c>
      <c r="G16" s="10">
        <v>126000</v>
      </c>
      <c r="H16" s="10">
        <f>+(F16-G16)*0.3</f>
        <v>1200</v>
      </c>
      <c r="I16" s="10">
        <f>+F16-G16-H16</f>
        <v>2800</v>
      </c>
      <c r="J16" s="55">
        <f>+I16*J5</f>
        <v>1120</v>
      </c>
      <c r="K16" s="10"/>
    </row>
    <row r="17" spans="3:14" x14ac:dyDescent="0.25">
      <c r="G17" s="10"/>
      <c r="H17" s="10"/>
      <c r="I17" s="10"/>
      <c r="J17" s="10"/>
      <c r="K17" s="10"/>
    </row>
    <row r="18" spans="3:14" x14ac:dyDescent="0.25">
      <c r="C18" t="s">
        <v>43</v>
      </c>
      <c r="G18" s="10"/>
      <c r="H18" s="10"/>
      <c r="I18" s="10"/>
      <c r="J18" s="55">
        <f>+J10-J12-J14-J16</f>
        <v>4240</v>
      </c>
      <c r="K18" s="10"/>
    </row>
    <row r="19" spans="3:14" x14ac:dyDescent="0.25">
      <c r="G19" s="10"/>
      <c r="H19" s="10"/>
      <c r="I19" s="10"/>
      <c r="J19" s="10"/>
      <c r="K19" s="10"/>
    </row>
    <row r="20" spans="3:14" x14ac:dyDescent="0.25">
      <c r="G20" s="10"/>
      <c r="H20" s="10"/>
      <c r="I20" s="10"/>
      <c r="J20" s="10"/>
      <c r="K20" s="10"/>
    </row>
    <row r="21" spans="3:14" x14ac:dyDescent="0.25">
      <c r="G21" s="10"/>
      <c r="H21" s="10"/>
      <c r="I21" s="10"/>
      <c r="J21" s="10"/>
      <c r="K21" s="10"/>
    </row>
    <row r="22" spans="3:14" x14ac:dyDescent="0.25">
      <c r="C22" s="11" t="s">
        <v>45</v>
      </c>
      <c r="G22" s="10"/>
      <c r="H22" s="10"/>
      <c r="I22" s="10"/>
      <c r="J22" s="10"/>
      <c r="K22" s="10"/>
    </row>
    <row r="23" spans="3:14" x14ac:dyDescent="0.25">
      <c r="G23" s="10"/>
      <c r="H23" s="10"/>
      <c r="I23" s="10"/>
      <c r="J23" s="10"/>
      <c r="K23" s="10"/>
    </row>
    <row r="24" spans="3:14" x14ac:dyDescent="0.25">
      <c r="C24" t="s">
        <v>46</v>
      </c>
      <c r="G24" s="10"/>
      <c r="H24" s="10"/>
      <c r="I24" s="10"/>
      <c r="J24" s="12">
        <f>+J7</f>
        <v>80000</v>
      </c>
      <c r="K24" s="10"/>
    </row>
    <row r="25" spans="3:14" x14ac:dyDescent="0.25">
      <c r="G25" s="10"/>
      <c r="H25" s="10"/>
      <c r="I25" s="10"/>
      <c r="J25" s="10"/>
      <c r="K25" s="10"/>
    </row>
    <row r="26" spans="3:14" x14ac:dyDescent="0.25">
      <c r="C26" s="56" t="s">
        <v>47</v>
      </c>
      <c r="G26" s="10"/>
      <c r="H26" s="10"/>
      <c r="I26" s="10"/>
      <c r="J26" s="10"/>
      <c r="K26" s="10"/>
    </row>
    <row r="27" spans="3:14" x14ac:dyDescent="0.25">
      <c r="C27" t="s">
        <v>48</v>
      </c>
      <c r="G27" s="10"/>
      <c r="H27" s="10"/>
      <c r="I27" s="10">
        <v>24000</v>
      </c>
      <c r="J27" s="12">
        <f>-I27*J5</f>
        <v>-9600</v>
      </c>
      <c r="K27" s="10"/>
      <c r="L27" t="s">
        <v>49</v>
      </c>
      <c r="M27" t="s">
        <v>50</v>
      </c>
      <c r="N27" t="s">
        <v>51</v>
      </c>
    </row>
    <row r="28" spans="3:14" x14ac:dyDescent="0.25">
      <c r="G28" s="10"/>
      <c r="H28" s="10"/>
      <c r="I28" s="10"/>
      <c r="J28" s="10"/>
      <c r="K28" s="10"/>
    </row>
    <row r="29" spans="3:14" x14ac:dyDescent="0.25">
      <c r="C29" s="56" t="s">
        <v>52</v>
      </c>
      <c r="G29" s="10"/>
      <c r="H29" s="10"/>
      <c r="I29" s="10"/>
      <c r="J29" s="10"/>
      <c r="K29" s="10"/>
    </row>
    <row r="30" spans="3:14" x14ac:dyDescent="0.25">
      <c r="G30" s="10"/>
      <c r="H30" s="10"/>
      <c r="I30" s="10"/>
      <c r="J30" s="10"/>
      <c r="K30" s="10"/>
    </row>
    <row r="31" spans="3:14" x14ac:dyDescent="0.25">
      <c r="C31" t="s">
        <v>53</v>
      </c>
      <c r="G31" s="10"/>
      <c r="H31" s="10"/>
      <c r="I31" s="10">
        <v>45000</v>
      </c>
      <c r="J31" s="10">
        <f>+I31*J5</f>
        <v>18000</v>
      </c>
      <c r="K31" s="10"/>
    </row>
    <row r="32" spans="3:14" x14ac:dyDescent="0.25">
      <c r="G32" s="10"/>
      <c r="H32" s="10"/>
      <c r="I32" s="10"/>
      <c r="J32" s="10"/>
      <c r="K32" s="10"/>
    </row>
    <row r="33" spans="3:14" x14ac:dyDescent="0.25">
      <c r="C33" t="s">
        <v>54</v>
      </c>
      <c r="G33" s="10"/>
      <c r="H33" s="10"/>
      <c r="I33" s="10"/>
      <c r="J33" s="10">
        <f>-J12/20</f>
        <v>-420</v>
      </c>
      <c r="K33" s="10"/>
    </row>
    <row r="34" spans="3:14" x14ac:dyDescent="0.25">
      <c r="C34" t="s">
        <v>55</v>
      </c>
      <c r="G34" s="10"/>
      <c r="H34" s="10"/>
      <c r="I34" s="10"/>
      <c r="J34" s="10">
        <f>-J16/5</f>
        <v>-224</v>
      </c>
      <c r="K34" s="10"/>
    </row>
    <row r="35" spans="3:14" x14ac:dyDescent="0.25">
      <c r="C35" t="s">
        <v>56</v>
      </c>
      <c r="G35" s="10"/>
      <c r="H35" s="10"/>
      <c r="I35" s="10"/>
      <c r="J35" s="10">
        <f>-J18/5</f>
        <v>-848</v>
      </c>
      <c r="K35" s="10"/>
    </row>
    <row r="36" spans="3:14" x14ac:dyDescent="0.25">
      <c r="C36" t="s">
        <v>62</v>
      </c>
      <c r="G36" s="10"/>
      <c r="H36" s="10"/>
      <c r="I36" s="10"/>
      <c r="J36" s="10">
        <f>-I57</f>
        <v>-5600</v>
      </c>
      <c r="K36" s="10"/>
    </row>
    <row r="37" spans="3:14" x14ac:dyDescent="0.25">
      <c r="G37" s="10"/>
      <c r="H37" s="10"/>
      <c r="I37" s="10"/>
      <c r="J37" s="10"/>
      <c r="K37" s="10"/>
    </row>
    <row r="38" spans="3:14" x14ac:dyDescent="0.25">
      <c r="C38" t="s">
        <v>63</v>
      </c>
      <c r="G38" s="10"/>
      <c r="H38" s="10"/>
      <c r="I38" s="10"/>
      <c r="J38" s="12">
        <f>SUM(J31:J37)</f>
        <v>10908</v>
      </c>
      <c r="K38" s="10"/>
      <c r="L38" t="s">
        <v>64</v>
      </c>
      <c r="M38" t="s">
        <v>50</v>
      </c>
      <c r="N38" t="s">
        <v>65</v>
      </c>
    </row>
    <row r="39" spans="3:14" x14ac:dyDescent="0.25">
      <c r="G39" s="10"/>
      <c r="H39" s="10"/>
      <c r="I39" s="10"/>
      <c r="J39" s="10"/>
      <c r="K39" s="10"/>
    </row>
    <row r="40" spans="3:14" x14ac:dyDescent="0.25">
      <c r="C40" t="s">
        <v>66</v>
      </c>
      <c r="G40" s="10"/>
      <c r="H40" s="10"/>
      <c r="I40" s="10"/>
      <c r="J40" s="12">
        <f>+J24+J27+J38</f>
        <v>81308</v>
      </c>
      <c r="K40" s="10"/>
    </row>
    <row r="41" spans="3:14" x14ac:dyDescent="0.25">
      <c r="G41" s="10"/>
      <c r="H41" s="10"/>
      <c r="I41" s="10"/>
      <c r="J41" s="10"/>
      <c r="K41" s="10"/>
    </row>
    <row r="42" spans="3:14" x14ac:dyDescent="0.25">
      <c r="G42" s="10"/>
      <c r="H42" s="10"/>
      <c r="I42" s="10"/>
      <c r="J42" s="10"/>
      <c r="K42" s="10"/>
    </row>
    <row r="43" spans="3:14" x14ac:dyDescent="0.25">
      <c r="G43" s="10"/>
      <c r="H43" s="10"/>
      <c r="I43" s="10"/>
      <c r="J43" s="10"/>
      <c r="K43" s="10"/>
    </row>
    <row r="44" spans="3:14" x14ac:dyDescent="0.25">
      <c r="G44" s="10"/>
      <c r="H44" s="10"/>
      <c r="I44" s="10"/>
      <c r="J44" s="10"/>
      <c r="K44" s="10"/>
    </row>
    <row r="45" spans="3:14" x14ac:dyDescent="0.25">
      <c r="G45" s="10"/>
      <c r="H45" s="10"/>
      <c r="I45" s="10"/>
      <c r="J45" s="10"/>
      <c r="K45" s="10"/>
    </row>
    <row r="46" spans="3:14" x14ac:dyDescent="0.25">
      <c r="G46" s="10"/>
      <c r="H46" s="10"/>
      <c r="I46" s="10"/>
      <c r="J46" s="10"/>
      <c r="K46" s="10"/>
    </row>
    <row r="47" spans="3:14" x14ac:dyDescent="0.25">
      <c r="C47" t="s">
        <v>57</v>
      </c>
      <c r="G47" s="10">
        <v>80</v>
      </c>
      <c r="H47" s="10">
        <v>60</v>
      </c>
      <c r="I47" s="10">
        <f>+G47-H47</f>
        <v>20</v>
      </c>
      <c r="J47" s="10"/>
      <c r="K47" s="10"/>
    </row>
    <row r="48" spans="3:14" x14ac:dyDescent="0.25">
      <c r="G48" s="10"/>
      <c r="H48" s="10"/>
      <c r="I48" s="10"/>
      <c r="J48" s="10"/>
      <c r="K48" s="10"/>
    </row>
    <row r="49" spans="3:11" x14ac:dyDescent="0.25">
      <c r="C49" t="s">
        <v>58</v>
      </c>
      <c r="G49" s="10"/>
      <c r="H49" s="10"/>
      <c r="I49" s="10">
        <v>1000</v>
      </c>
      <c r="J49" s="10"/>
      <c r="K49" s="10"/>
    </row>
    <row r="50" spans="3:11" x14ac:dyDescent="0.25">
      <c r="G50" s="10"/>
      <c r="H50" s="10"/>
      <c r="I50" s="10"/>
      <c r="J50" s="10"/>
      <c r="K50" s="10"/>
    </row>
    <row r="51" spans="3:11" x14ac:dyDescent="0.25">
      <c r="C51" t="s">
        <v>59</v>
      </c>
      <c r="G51" s="10"/>
      <c r="H51" s="10"/>
      <c r="I51" s="10">
        <f>+I49*I47</f>
        <v>20000</v>
      </c>
      <c r="J51" s="10"/>
      <c r="K51" s="10"/>
    </row>
    <row r="52" spans="3:11" x14ac:dyDescent="0.25">
      <c r="G52" s="10"/>
      <c r="H52" s="10"/>
      <c r="I52" s="10"/>
      <c r="J52" s="10"/>
      <c r="K52" s="10"/>
    </row>
    <row r="53" spans="3:11" x14ac:dyDescent="0.25">
      <c r="C53" s="57" t="s">
        <v>60</v>
      </c>
      <c r="G53" s="10"/>
      <c r="H53" s="10"/>
      <c r="I53" s="10">
        <f>-I51*0.3</f>
        <v>-6000</v>
      </c>
      <c r="J53" s="10"/>
      <c r="K53" s="10"/>
    </row>
    <row r="54" spans="3:11" x14ac:dyDescent="0.25">
      <c r="G54" s="10"/>
      <c r="H54" s="10"/>
      <c r="I54" s="10"/>
      <c r="J54" s="10"/>
      <c r="K54" s="10"/>
    </row>
    <row r="55" spans="3:11" x14ac:dyDescent="0.25">
      <c r="C55" t="s">
        <v>61</v>
      </c>
      <c r="G55" s="10"/>
      <c r="H55" s="58">
        <v>1</v>
      </c>
      <c r="I55" s="10">
        <f>+I53+I51</f>
        <v>14000</v>
      </c>
      <c r="J55" s="10"/>
      <c r="K55" s="10"/>
    </row>
    <row r="56" spans="3:11" x14ac:dyDescent="0.25">
      <c r="G56" s="10"/>
      <c r="H56" s="10"/>
      <c r="I56" s="10"/>
      <c r="J56" s="10"/>
      <c r="K56" s="10"/>
    </row>
    <row r="57" spans="3:11" x14ac:dyDescent="0.25">
      <c r="C57" t="s">
        <v>61</v>
      </c>
      <c r="G57" s="10"/>
      <c r="H57" s="58">
        <v>0.4</v>
      </c>
      <c r="I57" s="55">
        <f>+I55*H57</f>
        <v>5600</v>
      </c>
      <c r="J57" s="10"/>
      <c r="K57" s="10"/>
    </row>
    <row r="58" spans="3:11" x14ac:dyDescent="0.25">
      <c r="G58" s="10"/>
      <c r="H58" s="10"/>
      <c r="I58" s="10"/>
      <c r="J58" s="10"/>
      <c r="K58" s="10"/>
    </row>
    <row r="59" spans="3:11" x14ac:dyDescent="0.25">
      <c r="G59" s="10"/>
      <c r="H59" s="10"/>
      <c r="I59" s="10"/>
      <c r="J59" s="10"/>
      <c r="K59" s="10"/>
    </row>
    <row r="60" spans="3:11" x14ac:dyDescent="0.25">
      <c r="G60" s="10"/>
      <c r="H60" s="10"/>
      <c r="I60" s="10"/>
      <c r="J60" s="10"/>
      <c r="K60" s="10"/>
    </row>
    <row r="61" spans="3:11" x14ac:dyDescent="0.25">
      <c r="G61" s="10"/>
      <c r="H61" s="10"/>
      <c r="I61" s="10"/>
      <c r="J61" s="10"/>
      <c r="K61" s="10"/>
    </row>
    <row r="62" spans="3:11" x14ac:dyDescent="0.25">
      <c r="G62" s="10"/>
      <c r="H62" s="10"/>
      <c r="I62" s="10"/>
      <c r="J62" s="10"/>
      <c r="K62" s="10"/>
    </row>
    <row r="63" spans="3:11" x14ac:dyDescent="0.25">
      <c r="G63" s="10"/>
      <c r="H63" s="10"/>
      <c r="I63" s="10"/>
      <c r="J63" s="10"/>
      <c r="K63" s="10"/>
    </row>
    <row r="64" spans="3:11" x14ac:dyDescent="0.25">
      <c r="G64" s="10"/>
      <c r="H64" s="10"/>
      <c r="I64" s="10"/>
      <c r="J64" s="10"/>
      <c r="K64" s="10"/>
    </row>
    <row r="65" spans="7:11" x14ac:dyDescent="0.25">
      <c r="G65" s="10"/>
      <c r="H65" s="10"/>
      <c r="I65" s="10"/>
      <c r="J65" s="10"/>
      <c r="K65" s="10"/>
    </row>
    <row r="66" spans="7:11" x14ac:dyDescent="0.25">
      <c r="G66" s="10"/>
      <c r="H66" s="10"/>
      <c r="I66" s="10"/>
      <c r="J66" s="10"/>
      <c r="K66" s="10"/>
    </row>
    <row r="67" spans="7:11" x14ac:dyDescent="0.25">
      <c r="G67" s="10"/>
      <c r="H67" s="10"/>
      <c r="I67" s="10"/>
      <c r="J67" s="10"/>
      <c r="K6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 1</vt:lpstr>
      <vt:lpstr>ES 2</vt:lpstr>
      <vt:lpstr>es 3</vt:lpstr>
      <vt:lpstr>Foglio4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Gaudenzio Albertinazzi</dc:creator>
  <cp:lastModifiedBy>Gaudenzio Albertinazzi</cp:lastModifiedBy>
  <dcterms:created xsi:type="dcterms:W3CDTF">2026-04-17T07:26:15Z</dcterms:created>
  <dcterms:modified xsi:type="dcterms:W3CDTF">2026-04-17T08:54:55Z</dcterms:modified>
</cp:coreProperties>
</file>