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annamaria.gambaro\Desktop\Didattica\UPO-corsi\2025-26\FBA-2526\Lez7-MonteCarlo\"/>
    </mc:Choice>
  </mc:AlternateContent>
  <xr:revisionPtr revIDLastSave="0" documentId="13_ncr:1_{E14C0A0E-E903-4909-BAFD-FC893B4CE541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LInearForecastTrend" sheetId="1" r:id="rId1"/>
    <sheet name="LinearForecastTrendSeasonality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" i="1" l="1" a="1"/>
  <c r="T5" i="1" s="1"/>
  <c r="S5" i="1" a="1"/>
  <c r="S5" i="1" s="1"/>
  <c r="P5" i="1" a="1"/>
  <c r="P5" i="1" s="1"/>
  <c r="U5" i="1" a="1"/>
  <c r="U5" i="1" s="1"/>
  <c r="S4" i="1" a="1"/>
  <c r="S4" i="1" s="1"/>
  <c r="P4" i="1" a="1"/>
  <c r="P4" i="1" s="1"/>
  <c r="Q17" i="2" a="1"/>
  <c r="Q17" i="2" s="1"/>
  <c r="M5" i="2"/>
  <c r="N5" i="2" s="1"/>
  <c r="M3" i="2"/>
  <c r="N3" i="2" s="1"/>
  <c r="M4" i="2"/>
  <c r="N4" i="2" s="1"/>
  <c r="M6" i="2"/>
  <c r="N6" i="2" s="1"/>
  <c r="M7" i="2"/>
  <c r="N7" i="2" s="1"/>
  <c r="M8" i="2"/>
  <c r="N8" i="2" s="1"/>
  <c r="M9" i="2"/>
  <c r="N9" i="2" s="1"/>
  <c r="M10" i="2"/>
  <c r="N10" i="2" s="1"/>
  <c r="M11" i="2"/>
  <c r="N11" i="2" s="1"/>
  <c r="M12" i="2"/>
  <c r="N12" i="2" s="1"/>
  <c r="M13" i="2"/>
  <c r="N13" i="2" s="1"/>
  <c r="M14" i="2"/>
  <c r="N14" i="2" s="1"/>
  <c r="M15" i="2"/>
  <c r="N15" i="2" s="1"/>
  <c r="M16" i="2"/>
  <c r="N16" i="2" s="1"/>
  <c r="M17" i="2"/>
  <c r="N17" i="2" s="1"/>
  <c r="M18" i="2"/>
  <c r="N18" i="2" s="1"/>
  <c r="V5" i="1" l="1" a="1"/>
  <c r="T11" i="2" a="1"/>
  <c r="T11" i="2" s="1"/>
  <c r="S11" i="2" a="1"/>
  <c r="S11" i="2" s="1"/>
  <c r="R11" i="2" a="1"/>
  <c r="R11" i="2" s="1"/>
  <c r="U11" i="2" a="1"/>
  <c r="U11" i="2" s="1"/>
  <c r="T9" i="2" a="1"/>
  <c r="T9" i="2" s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H3" i="2"/>
  <c r="Q11" i="2" a="1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H4" i="2"/>
  <c r="H5" i="2"/>
  <c r="H6" i="2"/>
  <c r="H7" i="2"/>
  <c r="H8" i="2"/>
  <c r="Q3" i="2" s="1" a="1"/>
  <c r="Q3" i="2" s="1"/>
  <c r="H9" i="2"/>
  <c r="H10" i="2"/>
  <c r="H11" i="2"/>
  <c r="H12" i="2"/>
  <c r="H13" i="2"/>
  <c r="H14" i="2"/>
  <c r="H15" i="2"/>
  <c r="H16" i="2"/>
  <c r="H17" i="2"/>
  <c r="H18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E5" i="1"/>
  <c r="E3" i="1"/>
  <c r="F3" i="1" s="1"/>
  <c r="F5" i="1"/>
  <c r="F9" i="1"/>
  <c r="F11" i="1"/>
  <c r="F12" i="1"/>
  <c r="F14" i="1"/>
  <c r="F15" i="1"/>
  <c r="F16" i="1"/>
  <c r="F17" i="1"/>
  <c r="F18" i="1"/>
  <c r="F19" i="1"/>
  <c r="F20" i="1"/>
  <c r="F21" i="1"/>
  <c r="F22" i="1"/>
  <c r="F23" i="1"/>
  <c r="F24" i="1"/>
  <c r="F25" i="1"/>
  <c r="E10" i="1"/>
  <c r="F10" i="1" s="1"/>
  <c r="E4" i="1"/>
  <c r="F4" i="1" s="1"/>
  <c r="E6" i="1"/>
  <c r="F6" i="1" s="1"/>
  <c r="E7" i="1"/>
  <c r="F7" i="1" s="1"/>
  <c r="E8" i="1"/>
  <c r="F8" i="1" s="1"/>
  <c r="E9" i="1"/>
  <c r="E11" i="1"/>
  <c r="E12" i="1"/>
  <c r="E13" i="1"/>
  <c r="F13" i="1" s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F26" i="1" s="1"/>
  <c r="H12" i="1" a="1"/>
  <c r="I4" i="1" a="1"/>
  <c r="I4" i="1" s="1"/>
  <c r="V5" i="1" l="1"/>
  <c r="C16" i="1"/>
  <c r="D16" i="1" s="1"/>
  <c r="C15" i="1"/>
  <c r="D15" i="1" s="1"/>
  <c r="C14" i="1"/>
  <c r="D14" i="1" s="1"/>
  <c r="C13" i="1"/>
  <c r="D13" i="1" s="1"/>
  <c r="C12" i="1"/>
  <c r="D12" i="1" s="1"/>
  <c r="C10" i="1"/>
  <c r="D10" i="1" s="1"/>
  <c r="C9" i="1"/>
  <c r="D9" i="1" s="1"/>
  <c r="C24" i="1"/>
  <c r="D24" i="1" s="1"/>
  <c r="C11" i="1"/>
  <c r="D11" i="1" s="1"/>
  <c r="C8" i="1"/>
  <c r="D8" i="1" s="1"/>
  <c r="C7" i="1"/>
  <c r="D7" i="1" s="1"/>
  <c r="C5" i="1"/>
  <c r="D5" i="1" s="1"/>
  <c r="C3" i="1"/>
  <c r="D3" i="1" s="1"/>
  <c r="H12" i="1"/>
  <c r="J12" i="1" s="1" a="1"/>
  <c r="J12" i="1" s="1"/>
  <c r="V4" i="1" a="1"/>
  <c r="V4" i="1" s="1"/>
  <c r="C6" i="1"/>
  <c r="D6" i="1" s="1"/>
  <c r="C4" i="1"/>
  <c r="D4" i="1" s="1"/>
  <c r="I16" i="1" a="1"/>
  <c r="I16" i="1" s="1"/>
  <c r="C26" i="1"/>
  <c r="D26" i="1" s="1"/>
  <c r="C25" i="1"/>
  <c r="D25" i="1" s="1"/>
  <c r="C23" i="1"/>
  <c r="D23" i="1" s="1"/>
  <c r="C22" i="1"/>
  <c r="D22" i="1" s="1"/>
  <c r="C21" i="1"/>
  <c r="D21" i="1" s="1"/>
  <c r="C20" i="1"/>
  <c r="D20" i="1" s="1"/>
  <c r="C19" i="1"/>
  <c r="D19" i="1" s="1"/>
  <c r="C18" i="1"/>
  <c r="D18" i="1" s="1"/>
  <c r="C17" i="1"/>
  <c r="D17" i="1" s="1"/>
  <c r="K5" i="2"/>
  <c r="L5" i="2" s="1"/>
  <c r="V11" i="2"/>
  <c r="K3" i="2"/>
  <c r="L3" i="2" s="1"/>
  <c r="V13" i="2"/>
  <c r="V14" i="2"/>
  <c r="V12" i="2"/>
  <c r="Q11" i="2"/>
  <c r="P11" i="2" s="1" a="1"/>
  <c r="P11" i="2" s="1"/>
  <c r="K18" i="2"/>
  <c r="L18" i="2" s="1"/>
  <c r="K17" i="2"/>
  <c r="L17" i="2" s="1"/>
  <c r="K16" i="2"/>
  <c r="L16" i="2" s="1"/>
  <c r="K15" i="2"/>
  <c r="L15" i="2" s="1"/>
  <c r="K14" i="2"/>
  <c r="L14" i="2" s="1"/>
  <c r="K13" i="2"/>
  <c r="L13" i="2" s="1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4" i="2"/>
  <c r="L4" i="2" s="1"/>
  <c r="AC5" i="1" l="1" a="1"/>
  <c r="AC5" i="1" s="1"/>
  <c r="I12" i="1" a="1"/>
  <c r="I12" i="1" s="1"/>
  <c r="N7" i="1"/>
  <c r="Q5" i="1" l="1" a="1"/>
  <c r="R5" i="1" a="1"/>
  <c r="R5" i="1" s="1"/>
  <c r="W5" i="1" l="1" a="1"/>
  <c r="Q5" i="1"/>
  <c r="W5" i="1" l="1"/>
  <c r="X5" i="1" s="1" a="1"/>
  <c r="X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<sst xmlns="http://schemas.openxmlformats.org/spreadsheetml/2006/main" count="88" uniqueCount="50">
  <si>
    <t>Month (t)</t>
  </si>
  <si>
    <t>Sales (Units)</t>
  </si>
  <si>
    <t>Period (t)</t>
  </si>
  <si>
    <t>Year</t>
  </si>
  <si>
    <t>Sales ($1000)</t>
  </si>
  <si>
    <t>Quarter</t>
  </si>
  <si>
    <t>Q1</t>
  </si>
  <si>
    <t>Q2</t>
  </si>
  <si>
    <t>Q3</t>
  </si>
  <si>
    <t>Q4</t>
  </si>
  <si>
    <t>Legend</t>
  </si>
  <si>
    <t>t</t>
  </si>
  <si>
    <t>Y</t>
  </si>
  <si>
    <t>Y_hat</t>
  </si>
  <si>
    <t>Error IS</t>
  </si>
  <si>
    <t>Linear Forecast</t>
  </si>
  <si>
    <t>Error OS</t>
  </si>
  <si>
    <t>b1</t>
  </si>
  <si>
    <t>b2</t>
  </si>
  <si>
    <t>value</t>
  </si>
  <si>
    <t>std. err.</t>
  </si>
  <si>
    <t>R^2</t>
  </si>
  <si>
    <t>F</t>
  </si>
  <si>
    <t>SSE</t>
  </si>
  <si>
    <t>RMSE</t>
  </si>
  <si>
    <t>df</t>
  </si>
  <si>
    <t>SSR</t>
  </si>
  <si>
    <t>b0</t>
  </si>
  <si>
    <t>Forecast</t>
  </si>
  <si>
    <t>Forecast (formula)</t>
  </si>
  <si>
    <t>RMSE IS</t>
  </si>
  <si>
    <t>RMSE OS</t>
  </si>
  <si>
    <t>X0</t>
  </si>
  <si>
    <t>X1</t>
  </si>
  <si>
    <t>Dummy variables</t>
  </si>
  <si>
    <t>X2</t>
  </si>
  <si>
    <t>X3</t>
  </si>
  <si>
    <t>X4</t>
  </si>
  <si>
    <t>Errors IS</t>
  </si>
  <si>
    <t>b4</t>
  </si>
  <si>
    <t>b3</t>
  </si>
  <si>
    <t>Std Err.</t>
  </si>
  <si>
    <t>test F</t>
  </si>
  <si>
    <t>T</t>
  </si>
  <si>
    <t>Q_aux</t>
  </si>
  <si>
    <t>Last Quarter</t>
  </si>
  <si>
    <t>Error IS Std. Dev</t>
  </si>
  <si>
    <t>Nsim</t>
  </si>
  <si>
    <t>Simulated Errors</t>
  </si>
  <si>
    <t>Simulated Forecast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</si>
</sst>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0" fontId="0" fillId="0" borderId="2" xfId="0" applyBorder="1"/>
    <xf numFmtId="0" fontId="1" fillId="2" borderId="3" xfId="0" applyFont="1" applyFill="1" applyBorder="1"/>
    <xf numFmtId="0" fontId="0" fillId="0" borderId="3" xfId="0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0" borderId="6" xfId="0" applyBorder="1"/>
    <xf numFmtId="0" fontId="0" fillId="0" borderId="7" xfId="0" applyBorder="1"/>
    <xf numFmtId="0" fontId="1" fillId="2" borderId="8" xfId="0" applyFont="1" applyFill="1" applyBorder="1"/>
    <xf numFmtId="2" fontId="0" fillId="0" borderId="0" xfId="0" applyNumberFormat="1"/>
    <xf numFmtId="164" fontId="0" fillId="0" borderId="0" xfId="0" applyNumberFormat="1"/>
    <xf numFmtId="1" fontId="0" fillId="0" borderId="0" xfId="0" applyNumberFormat="1"/>
    <xf numFmtId="0" fontId="1" fillId="2" borderId="0" xfId="0" applyFont="1" applyFill="1"/>
    <xf numFmtId="0" fontId="1" fillId="2" borderId="9" xfId="0" applyFont="1" applyFill="1" applyBorder="1"/>
    <xf numFmtId="0" fontId="0" fillId="0" borderId="10" xfId="0" applyBorder="1"/>
    <xf numFmtId="0" fontId="0" fillId="0" borderId="8" xfId="0" applyBorder="1"/>
    <xf numFmtId="1" fontId="0" fillId="0" borderId="8" xfId="0" applyNumberFormat="1" applyBorder="1"/>
    <xf numFmtId="1" fontId="0" fillId="0" borderId="1" xfId="0" applyNumberFormat="1" applyBorder="1"/>
    <xf numFmtId="1" fontId="0" fillId="0" borderId="10" xfId="0" applyNumberFormat="1" applyBorder="1"/>
    <xf numFmtId="2" fontId="0" fillId="0" borderId="1" xfId="0" applyNumberForma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1" fillId="2" borderId="0" xfId="0" applyFont="1" applyFill="1" applyBorder="1"/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center"/>
    </xf>
  </cellXfs>
  <cellStyles count="1">
    <cellStyle name="Normal" xfId="0" builtinId="0"/>
  </cellStyles>
  <dxfs count="28"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top style="thin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 xr9:uid="{254CF977-2242-4B6B-8C2F-B9443CCCE29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LInearForecastTrend!$M$4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LInearForecastTrend!$B$3:$B$26</c:f>
              <c:numCache>
                <c:formatCode>General</c:formatCode>
                <c:ptCount val="24"/>
                <c:pt idx="0">
                  <c:v>476</c:v>
                </c:pt>
                <c:pt idx="1">
                  <c:v>496</c:v>
                </c:pt>
                <c:pt idx="2">
                  <c:v>490</c:v>
                </c:pt>
                <c:pt idx="3">
                  <c:v>487</c:v>
                </c:pt>
                <c:pt idx="4">
                  <c:v>472</c:v>
                </c:pt>
                <c:pt idx="5">
                  <c:v>501</c:v>
                </c:pt>
                <c:pt idx="6">
                  <c:v>519</c:v>
                </c:pt>
                <c:pt idx="7">
                  <c:v>536</c:v>
                </c:pt>
                <c:pt idx="8">
                  <c:v>539</c:v>
                </c:pt>
                <c:pt idx="9">
                  <c:v>522</c:v>
                </c:pt>
                <c:pt idx="10">
                  <c:v>546</c:v>
                </c:pt>
                <c:pt idx="11">
                  <c:v>547</c:v>
                </c:pt>
                <c:pt idx="12">
                  <c:v>562</c:v>
                </c:pt>
                <c:pt idx="13">
                  <c:v>541</c:v>
                </c:pt>
                <c:pt idx="14">
                  <c:v>567</c:v>
                </c:pt>
                <c:pt idx="15">
                  <c:v>555</c:v>
                </c:pt>
                <c:pt idx="16">
                  <c:v>559</c:v>
                </c:pt>
                <c:pt idx="17">
                  <c:v>569</c:v>
                </c:pt>
                <c:pt idx="18">
                  <c:v>582</c:v>
                </c:pt>
                <c:pt idx="19">
                  <c:v>578</c:v>
                </c:pt>
                <c:pt idx="20">
                  <c:v>571</c:v>
                </c:pt>
                <c:pt idx="21">
                  <c:v>576</c:v>
                </c:pt>
                <c:pt idx="22">
                  <c:v>601</c:v>
                </c:pt>
                <c:pt idx="23">
                  <c:v>590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F0-416B-A3DD-3DFC34499183}"/>
            </c:ext>
          </c:extLst>
        </c:ser>
        <c:ser>
          <c:idx val="1"/>
          <c:order val="1"/>
          <c:tx>
            <c:v>Regression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LInearForecastTrend!$A$3:$A$26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LInearForecastTrend!$C$3:$C$26</c:f>
              <c:numCache>
                <c:formatCode>0</c:formatCode>
                <c:ptCount val="24"/>
                <c:pt idx="0">
                  <c:v>482.78666666666663</c:v>
                </c:pt>
                <c:pt idx="1">
                  <c:v>487.84144927536232</c:v>
                </c:pt>
                <c:pt idx="2">
                  <c:v>492.89623188405795</c:v>
                </c:pt>
                <c:pt idx="3">
                  <c:v>497.95101449275359</c:v>
                </c:pt>
                <c:pt idx="4">
                  <c:v>503.00579710144928</c:v>
                </c:pt>
                <c:pt idx="5">
                  <c:v>508.06057971014491</c:v>
                </c:pt>
                <c:pt idx="6">
                  <c:v>513.11536231884054</c:v>
                </c:pt>
                <c:pt idx="7">
                  <c:v>518.17014492753617</c:v>
                </c:pt>
                <c:pt idx="8">
                  <c:v>523.22492753623192</c:v>
                </c:pt>
                <c:pt idx="9">
                  <c:v>528.27971014492755</c:v>
                </c:pt>
                <c:pt idx="10">
                  <c:v>533.33449275362318</c:v>
                </c:pt>
                <c:pt idx="11">
                  <c:v>538.38927536231881</c:v>
                </c:pt>
                <c:pt idx="12">
                  <c:v>543.44405797101444</c:v>
                </c:pt>
                <c:pt idx="13">
                  <c:v>548.49884057971008</c:v>
                </c:pt>
                <c:pt idx="14">
                  <c:v>553.55362318840582</c:v>
                </c:pt>
                <c:pt idx="15">
                  <c:v>558.60840579710145</c:v>
                </c:pt>
                <c:pt idx="16">
                  <c:v>563.66318840579709</c:v>
                </c:pt>
                <c:pt idx="17">
                  <c:v>568.71797101449272</c:v>
                </c:pt>
                <c:pt idx="18">
                  <c:v>573.77275362318835</c:v>
                </c:pt>
                <c:pt idx="19">
                  <c:v>578.8275362318841</c:v>
                </c:pt>
                <c:pt idx="20">
                  <c:v>583.88231884057973</c:v>
                </c:pt>
                <c:pt idx="21">
                  <c:v>588.93710144927536</c:v>
                </c:pt>
                <c:pt idx="22">
                  <c:v>593.99188405797099</c:v>
                </c:pt>
                <c:pt idx="23">
                  <c:v>599.04666666666662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F0-416B-A3DD-3DFC34499183}"/>
            </c:ext>
          </c:extLst>
        </c:ser>
        <c:ser>
          <c:idx val="2"/>
          <c:order val="2"/>
          <c:tx>
            <c:strRef>
              <c:f>LInearForecastTrend!$I$11</c:f>
              <c:strCache>
                <c:ptCount val="1"/>
                <c:pt idx="0">
                  <c:v>Forecast</c:v>
                </c:pt>
              </c:strCache>
            </c:strRef>
          </c:tx>
          <c:spPr>
            <a:ln w="25400" cap="rnd">
              <a:solidFill>
                <a:schemeClr val="accent6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LInearForecastTrend!$H$12:$H$14</c:f>
              <c:numCache>
                <c:formatCode>General</c:formatCode>
                <c:ptCount val="3"/>
                <c:pt idx="0">
                  <c:v>25</c:v>
                </c:pt>
                <c:pt idx="1">
                  <c:v>26</c:v>
                </c:pt>
                <c:pt idx="2">
                  <c:v>27</c:v>
                </c:pt>
              </c:numCache>
            </c:numRef>
          </c:xVal>
          <c:yVal>
            <c:numRef>
              <c:f>LInearForecastTrend!$J$12:$J$14</c:f>
              <c:numCache>
                <c:formatCode>0</c:formatCode>
                <c:ptCount val="3"/>
                <c:pt idx="0">
                  <c:v>604.10144927536226</c:v>
                </c:pt>
                <c:pt idx="1">
                  <c:v>609.156231884058</c:v>
                </c:pt>
                <c:pt idx="2">
                  <c:v>614.21101449275363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F0-416B-A3DD-3DFC34499183}"/>
            </c:ext>
          </c:extLst>
        </c:ser>
        <c:ser>
          <c:idx val="3"/>
          <c:order val="3"/>
          <c:tx>
            <c:strRef>
              <c:f>LInearForecastTrend!$V$3</c:f>
              <c:strCache>
                <c:ptCount val="1"/>
                <c:pt idx="0">
                  <c:v>Simulated Forecast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LInearForecastTrend!$S$5:$S$24</c:f>
              <c:numCache>
                <c:formatCode>0.00</c:formatCode>
                <c:ptCount val="20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</c:numCache>
            </c:numRef>
          </c:xVal>
          <c:yVal>
            <c:numRef>
              <c:f>LInearForecastTrend!$V$5:$V$24</c:f>
              <c:numCache>
                <c:formatCode>0.00</c:formatCode>
                <c:ptCount val="20"/>
                <c:pt idx="0">
                  <c:v>581.38660542488242</c:v>
                </c:pt>
                <c:pt idx="1">
                  <c:v>618.3578964838124</c:v>
                </c:pt>
                <c:pt idx="2">
                  <c:v>616.92783494538742</c:v>
                </c:pt>
                <c:pt idx="3">
                  <c:v>609.64805941934185</c:v>
                </c:pt>
                <c:pt idx="4">
                  <c:v>599.63607382553221</c:v>
                </c:pt>
                <c:pt idx="5">
                  <c:v>600.6739818399933</c:v>
                </c:pt>
                <c:pt idx="6">
                  <c:v>607.89135018938509</c:v>
                </c:pt>
                <c:pt idx="7">
                  <c:v>584.18655463998289</c:v>
                </c:pt>
                <c:pt idx="8">
                  <c:v>605.72211068520573</c:v>
                </c:pt>
                <c:pt idx="9">
                  <c:v>580.73114135054459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08-4A2F-BB87-7F1B1ADD38E6}"/>
            </c:ext>
          </c:extLst>
        </c:ser>
        <c:ser>
          <c:idx val="4"/>
          <c:order val="4"/>
          <c:tx>
            <c:strRef>
              <c:f>LInearForecastTrend!$V$3</c:f>
              <c:strCache>
                <c:ptCount val="1"/>
                <c:pt idx="0">
                  <c:v>Simulated Forecast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LInearForecastTrend!$T$5:$T$24</c:f>
              <c:numCache>
                <c:formatCode>0.00</c:formatCode>
                <c:ptCount val="20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26</c:v>
                </c:pt>
                <c:pt idx="6">
                  <c:v>26</c:v>
                </c:pt>
                <c:pt idx="7">
                  <c:v>26</c:v>
                </c:pt>
                <c:pt idx="8">
                  <c:v>26</c:v>
                </c:pt>
                <c:pt idx="9">
                  <c:v>26</c:v>
                </c:pt>
              </c:numCache>
            </c:numRef>
          </c:xVal>
          <c:yVal>
            <c:numRef>
              <c:f>LInearForecastTrend!$W$5:$W$24</c:f>
              <c:numCache>
                <c:formatCode>General</c:formatCode>
                <c:ptCount val="20"/>
                <c:pt idx="0" formatCode="0.00">
                  <c:v>595.8428415595256</c:v>
                </c:pt>
                <c:pt idx="1">
                  <c:v>635.59113122183408</c:v>
                </c:pt>
                <c:pt idx="2">
                  <c:v>627.55674569282667</c:v>
                </c:pt>
                <c:pt idx="3">
                  <c:v>593.37203791533261</c:v>
                </c:pt>
                <c:pt idx="4">
                  <c:v>612.98583430730207</c:v>
                </c:pt>
                <c:pt idx="5">
                  <c:v>614.31611840802566</c:v>
                </c:pt>
                <c:pt idx="6">
                  <c:v>619.37250400600453</c:v>
                </c:pt>
                <c:pt idx="7">
                  <c:v>591.78478964460055</c:v>
                </c:pt>
                <c:pt idx="8">
                  <c:v>598.7098770077497</c:v>
                </c:pt>
                <c:pt idx="9">
                  <c:v>621.22242788213418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608-4A2F-BB87-7F1B1ADD38E6}"/>
            </c:ext>
          </c:extLst>
        </c:ser>
        <c:ser>
          <c:idx val="5"/>
          <c:order val="5"/>
          <c:tx>
            <c:strRef>
              <c:f>LInearForecastTrend!$V$3</c:f>
              <c:strCache>
                <c:ptCount val="1"/>
                <c:pt idx="0">
                  <c:v>Simulated Forecast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LInearForecastTrend!$U$5:$U$24</c:f>
              <c:numCache>
                <c:formatCode>0.00</c:formatCode>
                <c:ptCount val="20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</c:numCache>
            </c:numRef>
          </c:xVal>
          <c:yVal>
            <c:numRef>
              <c:f>LInearForecastTrend!$X$5:$X$24</c:f>
              <c:numCache>
                <c:formatCode>General</c:formatCode>
                <c:ptCount val="20"/>
                <c:pt idx="0" formatCode="0.00">
                  <c:v>631.37726803917042</c:v>
                </c:pt>
                <c:pt idx="1">
                  <c:v>601.4911366793732</c:v>
                </c:pt>
                <c:pt idx="2">
                  <c:v>630.27823191178197</c:v>
                </c:pt>
                <c:pt idx="3">
                  <c:v>612.44100063925589</c:v>
                </c:pt>
                <c:pt idx="4">
                  <c:v>635.19515550111225</c:v>
                </c:pt>
                <c:pt idx="5">
                  <c:v>599.1445460125924</c:v>
                </c:pt>
                <c:pt idx="6">
                  <c:v>605.27880553549323</c:v>
                </c:pt>
                <c:pt idx="7">
                  <c:v>616.23683520607699</c:v>
                </c:pt>
                <c:pt idx="8">
                  <c:v>633.96357236097379</c:v>
                </c:pt>
                <c:pt idx="9">
                  <c:v>621.41329405062254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608-4A2F-BB87-7F1B1ADD38E6}"/>
            </c:ext>
          </c:extLst>
        </c:ser>
        <c:ser>
          <c:idx val="6"/>
          <c:order val="6"/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LInearForecastTrend!$S$5:$U$5</c:f>
              <c:numCache>
                <c:formatCode>0.00</c:formatCode>
                <c:ptCount val="3"/>
                <c:pt idx="0">
                  <c:v>25</c:v>
                </c:pt>
                <c:pt idx="1">
                  <c:v>26</c:v>
                </c:pt>
                <c:pt idx="2">
                  <c:v>27</c:v>
                </c:pt>
              </c:numCache>
            </c:numRef>
          </c:xVal>
          <c:yVal>
            <c:numRef>
              <c:f>LInearForecastTrend!$V$5:$X$5</c:f>
              <c:numCache>
                <c:formatCode>0.00</c:formatCode>
                <c:ptCount val="3"/>
                <c:pt idx="0">
                  <c:v>581.38660542488242</c:v>
                </c:pt>
                <c:pt idx="1">
                  <c:v>595.8428415595256</c:v>
                </c:pt>
                <c:pt idx="2">
                  <c:v>631.37726803917042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608-4A2F-BB87-7F1B1ADD38E6}"/>
            </c:ext>
          </c:extLst>
        </c:ser>
        <c:ser>
          <c:idx val="7"/>
          <c:order val="7"/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LInearForecastTrend!$S$6:$U$6</c:f>
              <c:numCache>
                <c:formatCode>0.00</c:formatCode>
                <c:ptCount val="3"/>
                <c:pt idx="0">
                  <c:v>25</c:v>
                </c:pt>
                <c:pt idx="1">
                  <c:v>26</c:v>
                </c:pt>
                <c:pt idx="2">
                  <c:v>27</c:v>
                </c:pt>
              </c:numCache>
            </c:numRef>
          </c:xVal>
          <c:yVal>
            <c:numRef>
              <c:f>LInearForecastTrend!$V$6:$X$6</c:f>
              <c:numCache>
                <c:formatCode>General</c:formatCode>
                <c:ptCount val="3"/>
                <c:pt idx="0" formatCode="0.00">
                  <c:v>618.3578964838124</c:v>
                </c:pt>
                <c:pt idx="1">
                  <c:v>635.59113122183408</c:v>
                </c:pt>
                <c:pt idx="2">
                  <c:v>601.4911366793732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608-4A2F-BB87-7F1B1ADD3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52559"/>
        <c:axId val="1942153039"/>
      </c:scatterChart>
      <c:valAx>
        <c:axId val="1942152559"/>
        <c:scaling>
          <c:orientation val="minMax"/>
        </c:scaling>
        <c:delete val="0"/>
        <c:axPos val="b"/>
        <c:title>
          <c:tx>
            <c:strRef>
              <c:f>LInearForecastTrend!$N$3</c:f>
              <c:strCache>
                <c:ptCount val="1"/>
                <c:pt idx="0">
                  <c:v>Month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53039"/>
        <c:crosses val="autoZero"/>
        <c:crossBetween val="midCat"/>
      </c:valAx>
      <c:valAx>
        <c:axId val="1942153039"/>
        <c:scaling>
          <c:orientation val="minMax"/>
          <c:min val="400"/>
        </c:scaling>
        <c:delete val="0"/>
        <c:axPos val="l"/>
        <c:title>
          <c:tx>
            <c:strRef>
              <c:f>LInearForecastTrend!$N$4</c:f>
              <c:strCache>
                <c:ptCount val="1"/>
                <c:pt idx="0">
                  <c:v>Sales (Units)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52559"/>
        <c:crosses val="autoZero"/>
        <c:crossBetween val="midCat"/>
      </c:valAx>
      <c:spPr>
        <a:noFill/>
        <a:ln>
          <a:solidFill>
            <a:schemeClr val="accent4"/>
          </a:solidFill>
        </a:ln>
        <a:effectLst/>
      </c:spPr>
    </c:plotArea>
    <c:legend>
      <c:legendPos val="t"/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LInearForecastTrend!$D$3:$D$26</c:f>
              <c:numCache>
                <c:formatCode>0</c:formatCode>
                <c:ptCount val="24"/>
                <c:pt idx="0">
                  <c:v>-6.7866666666666333</c:v>
                </c:pt>
                <c:pt idx="1">
                  <c:v>8.1585507246376778</c:v>
                </c:pt>
                <c:pt idx="2">
                  <c:v>-2.8962318840579542</c:v>
                </c:pt>
                <c:pt idx="3">
                  <c:v>-10.951014492753586</c:v>
                </c:pt>
                <c:pt idx="4">
                  <c:v>-31.005797101449275</c:v>
                </c:pt>
                <c:pt idx="5">
                  <c:v>-7.060579710144907</c:v>
                </c:pt>
                <c:pt idx="6">
                  <c:v>5.884637681159461</c:v>
                </c:pt>
                <c:pt idx="7">
                  <c:v>17.829855072463829</c:v>
                </c:pt>
                <c:pt idx="8">
                  <c:v>15.775072463768083</c:v>
                </c:pt>
                <c:pt idx="9">
                  <c:v>-6.2797101449275488</c:v>
                </c:pt>
                <c:pt idx="10">
                  <c:v>12.665507246376819</c:v>
                </c:pt>
                <c:pt idx="11">
                  <c:v>8.6107246376811872</c:v>
                </c:pt>
                <c:pt idx="12">
                  <c:v>18.555942028985555</c:v>
                </c:pt>
                <c:pt idx="13">
                  <c:v>-7.4988405797100768</c:v>
                </c:pt>
                <c:pt idx="14">
                  <c:v>13.446376811594178</c:v>
                </c:pt>
                <c:pt idx="15">
                  <c:v>-3.6084057971014545</c:v>
                </c:pt>
                <c:pt idx="16">
                  <c:v>-4.6631884057970865</c:v>
                </c:pt>
                <c:pt idx="17">
                  <c:v>0.2820289855072815</c:v>
                </c:pt>
                <c:pt idx="18">
                  <c:v>8.2272463768116495</c:v>
                </c:pt>
                <c:pt idx="19">
                  <c:v>-0.8275362318840962</c:v>
                </c:pt>
                <c:pt idx="20">
                  <c:v>-12.882318840579728</c:v>
                </c:pt>
                <c:pt idx="21">
                  <c:v>-12.93710144927536</c:v>
                </c:pt>
                <c:pt idx="22">
                  <c:v>7.0081159420290078</c:v>
                </c:pt>
                <c:pt idx="23">
                  <c:v>-9.0466666666666242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0C-4842-BE9D-B8998881DD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82799"/>
        <c:axId val="1942167439"/>
      </c:scatterChart>
      <c:valAx>
        <c:axId val="1942182799"/>
        <c:scaling>
          <c:orientation val="minMax"/>
        </c:scaling>
        <c:delete val="0"/>
        <c:axPos val="b"/>
        <c:title>
          <c:tx>
            <c:strRef>
              <c:f>LInearForecastTrend!$N$3</c:f>
              <c:strCache>
                <c:ptCount val="1"/>
                <c:pt idx="0">
                  <c:v>Month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67439"/>
        <c:crosses val="autoZero"/>
        <c:crossBetween val="midCat"/>
      </c:valAx>
      <c:valAx>
        <c:axId val="194216743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Errors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27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254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LinearForecastTrendSeasonality!$A$3:$A$18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LinearForecastTrendSeasonality!$C$3:$C$18</c:f>
              <c:numCache>
                <c:formatCode>General</c:formatCode>
                <c:ptCount val="16"/>
                <c:pt idx="0">
                  <c:v>69</c:v>
                </c:pt>
                <c:pt idx="1">
                  <c:v>61.999999999999993</c:v>
                </c:pt>
                <c:pt idx="2">
                  <c:v>81</c:v>
                </c:pt>
                <c:pt idx="3">
                  <c:v>86</c:v>
                </c:pt>
                <c:pt idx="4">
                  <c:v>79</c:v>
                </c:pt>
                <c:pt idx="5">
                  <c:v>73</c:v>
                </c:pt>
                <c:pt idx="6">
                  <c:v>89</c:v>
                </c:pt>
                <c:pt idx="7">
                  <c:v>95</c:v>
                </c:pt>
                <c:pt idx="8">
                  <c:v>81</c:v>
                </c:pt>
                <c:pt idx="9">
                  <c:v>77</c:v>
                </c:pt>
                <c:pt idx="10">
                  <c:v>96</c:v>
                </c:pt>
                <c:pt idx="11">
                  <c:v>99</c:v>
                </c:pt>
                <c:pt idx="12">
                  <c:v>84</c:v>
                </c:pt>
                <c:pt idx="13">
                  <c:v>80</c:v>
                </c:pt>
                <c:pt idx="14">
                  <c:v>101</c:v>
                </c:pt>
                <c:pt idx="15">
                  <c:v>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BA-4DF7-95D5-98DCFEB4468C}"/>
            </c:ext>
          </c:extLst>
        </c:ser>
        <c:ser>
          <c:idx val="1"/>
          <c:order val="1"/>
          <c:tx>
            <c:v>Regression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LinearForecastTrendSeasonality!$A$3:$A$18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LinearForecastTrendSeasonality!$K$3:$K$18</c:f>
              <c:numCache>
                <c:formatCode>0</c:formatCode>
                <c:ptCount val="16"/>
                <c:pt idx="0">
                  <c:v>69.512499999999989</c:v>
                </c:pt>
                <c:pt idx="1">
                  <c:v>64.262499999999989</c:v>
                </c:pt>
                <c:pt idx="2">
                  <c:v>83.012499999999989</c:v>
                </c:pt>
                <c:pt idx="3">
                  <c:v>87.512499999999989</c:v>
                </c:pt>
                <c:pt idx="4">
                  <c:v>75.337499999999977</c:v>
                </c:pt>
                <c:pt idx="5">
                  <c:v>70.087499999999977</c:v>
                </c:pt>
                <c:pt idx="6">
                  <c:v>88.837499999999991</c:v>
                </c:pt>
                <c:pt idx="7">
                  <c:v>93.337499999999991</c:v>
                </c:pt>
                <c:pt idx="8">
                  <c:v>81.162499999999994</c:v>
                </c:pt>
                <c:pt idx="9">
                  <c:v>75.912499999999994</c:v>
                </c:pt>
                <c:pt idx="10">
                  <c:v>94.662499999999994</c:v>
                </c:pt>
                <c:pt idx="11">
                  <c:v>99.162499999999994</c:v>
                </c:pt>
                <c:pt idx="12">
                  <c:v>86.987499999999983</c:v>
                </c:pt>
                <c:pt idx="13">
                  <c:v>81.737499999999983</c:v>
                </c:pt>
                <c:pt idx="14">
                  <c:v>100.4875</c:v>
                </c:pt>
                <c:pt idx="15">
                  <c:v>104.9875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CBA-4DF7-95D5-98DCFEB4468C}"/>
            </c:ext>
          </c:extLst>
        </c:ser>
        <c:ser>
          <c:idx val="2"/>
          <c:order val="2"/>
          <c:tx>
            <c:strRef>
              <c:f>LinearForecastTrendSeasonality!$V$10</c:f>
              <c:strCache>
                <c:ptCount val="1"/>
                <c:pt idx="0">
                  <c:v>Forecast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LinearForecastTrendSeasonality!$Q$11:$Q$14</c:f>
              <c:numCache>
                <c:formatCode>General</c:formatCode>
                <c:ptCount val="4"/>
                <c:pt idx="0">
                  <c:v>17</c:v>
                </c:pt>
                <c:pt idx="1">
                  <c:v>18</c:v>
                </c:pt>
                <c:pt idx="2">
                  <c:v>19</c:v>
                </c:pt>
                <c:pt idx="3">
                  <c:v>20</c:v>
                </c:pt>
              </c:numCache>
            </c:numRef>
          </c:xVal>
          <c:yVal>
            <c:numRef>
              <c:f>LinearForecastTrendSeasonality!$V$11:$V$14</c:f>
              <c:numCache>
                <c:formatCode>General</c:formatCode>
                <c:ptCount val="4"/>
                <c:pt idx="0">
                  <c:v>92.8125</c:v>
                </c:pt>
                <c:pt idx="1">
                  <c:v>87.5625</c:v>
                </c:pt>
                <c:pt idx="2">
                  <c:v>106.3125</c:v>
                </c:pt>
                <c:pt idx="3">
                  <c:v>110.8125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45-4893-B6E9-165D9A8EA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86159"/>
        <c:axId val="1942189999"/>
      </c:scatterChart>
      <c:valAx>
        <c:axId val="1942186159"/>
        <c:scaling>
          <c:orientation val="minMax"/>
        </c:scaling>
        <c:delete val="0"/>
        <c:axPos val="b"/>
        <c:title>
          <c:tx>
            <c:strRef>
              <c:f>LinearForecastTrendSeasonality!$AA$3</c:f>
              <c:strCache>
                <c:ptCount val="1"/>
                <c:pt idx="0">
                  <c:v>Period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9999"/>
        <c:crosses val="autoZero"/>
        <c:crossBetween val="midCat"/>
      </c:valAx>
      <c:valAx>
        <c:axId val="1942189999"/>
        <c:scaling>
          <c:orientation val="minMax"/>
          <c:min val="40"/>
        </c:scaling>
        <c:delete val="0"/>
        <c:axPos val="l"/>
        <c:title>
          <c:tx>
            <c:strRef>
              <c:f>LinearForecastTrendSeasonality!$AA$4</c:f>
              <c:strCache>
                <c:ptCount val="1"/>
                <c:pt idx="0">
                  <c:v>Sales ($1000)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61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456036745406824E-2"/>
          <c:y val="5.0925925925925923E-2"/>
          <c:w val="0.89521062992125988"/>
          <c:h val="0.8981481481481481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LinearForecastTrendSeasonality!$A$3:$A$18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LinearForecastTrendSeasonality!$L$3:$L$18</c:f>
              <c:numCache>
                <c:formatCode>0</c:formatCode>
                <c:ptCount val="16"/>
                <c:pt idx="0">
                  <c:v>-0.51249999999998863</c:v>
                </c:pt>
                <c:pt idx="1">
                  <c:v>-2.2624999999999957</c:v>
                </c:pt>
                <c:pt idx="2">
                  <c:v>-2.0124999999999886</c:v>
                </c:pt>
                <c:pt idx="3">
                  <c:v>-1.5124999999999886</c:v>
                </c:pt>
                <c:pt idx="4">
                  <c:v>3.6625000000000227</c:v>
                </c:pt>
                <c:pt idx="5">
                  <c:v>2.9125000000000227</c:v>
                </c:pt>
                <c:pt idx="6">
                  <c:v>0.16250000000000853</c:v>
                </c:pt>
                <c:pt idx="7">
                  <c:v>1.6625000000000085</c:v>
                </c:pt>
                <c:pt idx="8">
                  <c:v>-0.16249999999999432</c:v>
                </c:pt>
                <c:pt idx="9">
                  <c:v>1.0875000000000057</c:v>
                </c:pt>
                <c:pt idx="10">
                  <c:v>1.3375000000000057</c:v>
                </c:pt>
                <c:pt idx="11">
                  <c:v>-0.16249999999999432</c:v>
                </c:pt>
                <c:pt idx="12">
                  <c:v>-2.9874999999999829</c:v>
                </c:pt>
                <c:pt idx="13">
                  <c:v>-1.7374999999999829</c:v>
                </c:pt>
                <c:pt idx="14">
                  <c:v>0.51250000000000284</c:v>
                </c:pt>
                <c:pt idx="15">
                  <c:v>1.2500000000002842E-2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5C-46B6-9646-74398ABC61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77519"/>
        <c:axId val="1942184719"/>
      </c:scatterChart>
      <c:valAx>
        <c:axId val="1942177519"/>
        <c:scaling>
          <c:orientation val="minMax"/>
        </c:scaling>
        <c:delete val="0"/>
        <c:axPos val="b"/>
        <c:title>
          <c:tx>
            <c:strRef>
              <c:f>LinearForecastTrendSeasonality!$AA$3</c:f>
              <c:strCache>
                <c:ptCount val="1"/>
                <c:pt idx="0">
                  <c:v>Period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4719"/>
        <c:crosses val="autoZero"/>
        <c:crossBetween val="midCat"/>
      </c:valAx>
      <c:valAx>
        <c:axId val="194218471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Errors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775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273844</xdr:colOff>
      <xdr:row>5</xdr:row>
      <xdr:rowOff>120122</xdr:rowOff>
    </xdr:from>
    <xdr:to>
      <xdr:col>23</xdr:col>
      <xdr:colOff>607218</xdr:colOff>
      <xdr:row>23</xdr:row>
      <xdr:rowOff>99219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EE43E8F-816C-18FE-43CC-06377CA52B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586318</xdr:colOff>
      <xdr:row>34</xdr:row>
      <xdr:rowOff>105834</xdr:rowOff>
    </xdr:from>
    <xdr:to>
      <xdr:col>13</xdr:col>
      <xdr:colOff>357718</xdr:colOff>
      <xdr:row>49</xdr:row>
      <xdr:rowOff>55034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27091C-44DE-FFAD-478D-EF2AB1C928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129116</xdr:colOff>
      <xdr:row>21</xdr:row>
      <xdr:rowOff>59267</xdr:rowOff>
    </xdr:from>
    <xdr:to>
      <xdr:col>19</xdr:col>
      <xdr:colOff>40216</xdr:colOff>
      <xdr:row>36</xdr:row>
      <xdr:rowOff>8467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CF0D2E-846B-3C70-EF93-75BC462A03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234949</xdr:colOff>
      <xdr:row>19</xdr:row>
      <xdr:rowOff>88899</xdr:rowOff>
    </xdr:from>
    <xdr:to>
      <xdr:col>26</xdr:col>
      <xdr:colOff>539749</xdr:colOff>
      <xdr:row>34</xdr:row>
      <xdr:rowOff>38099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C2860C0-29D5-4C5E-B4D5-4DDA1FD918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9641FA8-88A0-45D1-AF45-D10D296E75BD}" name="Tab_sales" displayName="Tab_sales" ref="A2:F26" totalsRowShown="0" headerRowDxfId="27" headerRowBorderDxfId="26" tableBorderDxfId="25" totalsRowBorderDxfId="24">
  <autoFilter ref="A2:F26" xr:uid="{99641FA8-88A0-45D1-AF45-D10D296E75BD}"/>
  <tableColumns count="6">
    <tableColumn id="1" xr3:uid="{25749303-681D-4EAF-B5A8-5C8613210456}" name="t" dataDxfId="23"/>
    <tableColumn id="2" xr3:uid="{B8427AD4-7188-4220-9706-8C42BD82D2A7}" name="Y" dataDxfId="22"/>
    <tableColumn id="3" xr3:uid="{BFDAC01B-BB24-4B51-92A9-3A261944CFF1}" name="Y_hat" dataDxfId="21">
      <calculatedColumnFormula>$J$4+$I$4*Tab_sales[[#This Row],[t]]</calculatedColumnFormula>
    </tableColumn>
    <tableColumn id="4" xr3:uid="{ACF38988-F671-42CB-84EB-272843330FD4}" name="Error IS" dataDxfId="20">
      <calculatedColumnFormula>Tab_sales[[#This Row],[Y]]-Tab_sales[[#This Row],[Y_hat]]</calculatedColumnFormula>
    </tableColumn>
    <tableColumn id="5" xr3:uid="{3FD7708B-9F1C-4DDD-B93F-052BE643DC8F}" name="Linear Forecast" dataDxfId="19">
      <calculatedColumnFormula>IF(Tab_sales[[#This Row],[t]]&gt;2,_xlfn.FORECAST.LINEAR(Tab_sales[[#This Row],[t]],$B2:B$3,$A2:A$3),NA())</calculatedColumnFormula>
    </tableColumn>
    <tableColumn id="6" xr3:uid="{53A09049-0D5C-4D28-B956-13117137B01E}" name="Error OS" dataDxfId="18">
      <calculatedColumnFormula>Tab_sales[[#This Row],[Y]]-Tab_sales[[#This Row],[Linear Forecast]]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C0015FB-3414-4CE9-A370-765D106A2060}" name="Tab_salesQ" displayName="Tab_salesQ" ref="A2:N18" totalsRowShown="0" headerRowDxfId="17" headerRowBorderDxfId="16" tableBorderDxfId="15" totalsRowBorderDxfId="14">
  <autoFilter ref="A2:N18" xr:uid="{8C0015FB-3414-4CE9-A370-765D106A2060}"/>
  <tableColumns count="14">
    <tableColumn id="1" xr3:uid="{C996EF9C-1D72-46FA-9A44-497151251C61}" name="t" dataDxfId="13"/>
    <tableColumn id="2" xr3:uid="{0F2ABB2B-0131-49CE-B2B7-89F771C5E19C}" name="Year" dataDxfId="12"/>
    <tableColumn id="3" xr3:uid="{6C59A432-908B-4A12-8B61-45AE0B5FB1BF}" name="Y" dataDxfId="11"/>
    <tableColumn id="4" xr3:uid="{727A1A76-CC3C-46AE-ADB5-4A4DF712F4A5}" name="Quarter" dataDxfId="10"/>
    <tableColumn id="14" xr3:uid="{070C7EC1-5A7B-4521-A94B-C960B13F86DF}" name="Q_aux" dataDxfId="9">
      <calculatedColumnFormula>IF(Tab_salesQ[[#This Row],[Quarter]]="Q1",1,IF(Tab_salesQ[[#This Row],[Quarter]]="Q2",2,IF(Tab_salesQ[[#This Row],[Quarter]]="Q3",3,4)))</calculatedColumnFormula>
    </tableColumn>
    <tableColumn id="5" xr3:uid="{E0F06250-1980-4C3D-AC37-569C910D01FE}" name="X0" dataDxfId="8">
      <calculatedColumnFormula>1</calculatedColumnFormula>
    </tableColumn>
    <tableColumn id="6" xr3:uid="{7C50A94A-1EF3-4785-B265-C14E3045C1C4}" name="X1" dataDxfId="7">
      <calculatedColumnFormula>Tab_salesQ[[#This Row],[t]]</calculatedColumnFormula>
    </tableColumn>
    <tableColumn id="7" xr3:uid="{B2C37FB0-A9B4-4F78-92E4-53AE53B08B50}" name="X2" dataDxfId="6">
      <calculatedColumnFormula>IF(Tab_salesQ[[#This Row],[Quarter]]="Q1",1,0)</calculatedColumnFormula>
    </tableColumn>
    <tableColumn id="8" xr3:uid="{7E6962F4-3226-4E4F-B205-09DC5518242F}" name="X3" dataDxfId="5">
      <calculatedColumnFormula>IF(Tab_salesQ[[#This Row],[Quarter]]="Q2",1,0)</calculatedColumnFormula>
    </tableColumn>
    <tableColumn id="9" xr3:uid="{3828E96C-73B8-4C9B-B0B6-C302091587A8}" name="X4" dataDxfId="4">
      <calculatedColumnFormula>IF(Tab_salesQ[[#This Row],[Quarter]]="Q3",1,0)</calculatedColumnFormula>
    </tableColumn>
    <tableColumn id="10" xr3:uid="{826FB714-61AD-4C41-825F-972B89DC65AC}" name="Y_hat" dataDxfId="3">
      <calculatedColumnFormula>SUMPRODUCT(Tab_salesQ[[#This Row],[X0]:[X4]],_xlfn.SORTBY($Q$3:$U$3,$Q$1:$U$1,1))</calculatedColumnFormula>
    </tableColumn>
    <tableColumn id="11" xr3:uid="{965CA8CC-036D-4FFB-B658-CD3D6F2A159F}" name="Errors IS" dataDxfId="2">
      <calculatedColumnFormula>Tab_salesQ[[#This Row],[Y]]-Tab_salesQ[[#This Row],[Y_hat]]</calculatedColumnFormula>
    </tableColumn>
    <tableColumn id="12" xr3:uid="{073E828E-F2AA-4B90-9B17-202D1A927F42}" name="Forecast" dataDxfId="1">
      <calculatedColumnFormula>IF(Tab_salesQ[[#This Row],[t]]&gt;2,SUMPRODUCT(Tab_salesQ[[#This Row],[X0]:[X4]],_xlfn.SORTBY(LINEST($C2:C$3,$G2:J$3,TRUE,FALSE),$Q$1:$U$1,1)),NA())</calculatedColumnFormula>
    </tableColumn>
    <tableColumn id="13" xr3:uid="{2FB8B32D-807D-46E8-809D-6257B55F9E5C}" name="Error OS" dataDxfId="0">
      <calculatedColumnFormula>Tab_salesQ[[#This Row],[Y]]-Tab_salesQ[[#This Row],[Forecast]]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38"/>
  <sheetViews>
    <sheetView tabSelected="1" topLeftCell="B1" zoomScale="160" zoomScaleNormal="160" workbookViewId="0">
      <selection activeCell="N1" sqref="N1"/>
    </sheetView>
  </sheetViews>
  <sheetFormatPr defaultRowHeight="14.5" x14ac:dyDescent="0.35"/>
  <cols>
    <col min="1" max="1" width="9.1796875" bestFit="1" customWidth="1"/>
    <col min="2" max="2" width="11.36328125" bestFit="1" customWidth="1"/>
    <col min="5" max="5" width="14.08984375" customWidth="1"/>
    <col min="10" max="10" width="16.36328125" bestFit="1" customWidth="1"/>
    <col min="13" max="13" width="14.453125" bestFit="1" customWidth="1"/>
    <col min="14" max="14" width="11.08984375" bestFit="1" customWidth="1"/>
    <col min="16" max="16" width="11.08984375" bestFit="1" customWidth="1"/>
    <col min="22" max="22" width="12.36328125" customWidth="1"/>
  </cols>
  <sheetData>
    <row r="2" spans="1:29" ht="15" thickBot="1" x14ac:dyDescent="0.4">
      <c r="A2" s="6" t="s">
        <v>11</v>
      </c>
      <c r="B2" s="7" t="s">
        <v>12</v>
      </c>
      <c r="C2" s="10" t="s">
        <v>13</v>
      </c>
      <c r="D2" s="10" t="s">
        <v>14</v>
      </c>
      <c r="E2" s="10" t="s">
        <v>15</v>
      </c>
      <c r="F2" s="10" t="s">
        <v>16</v>
      </c>
      <c r="M2" s="1" t="s">
        <v>10</v>
      </c>
    </row>
    <row r="3" spans="1:29" ht="15" thickBot="1" x14ac:dyDescent="0.4">
      <c r="A3" s="3">
        <v>1</v>
      </c>
      <c r="B3" s="5">
        <v>476</v>
      </c>
      <c r="C3" s="13">
        <f>$J$4+$I$4*Tab_sales[[#This Row],[t]]</f>
        <v>482.78666666666663</v>
      </c>
      <c r="D3" s="13">
        <f>Tab_sales[[#This Row],[Y]]-Tab_sales[[#This Row],[Y_hat]]</f>
        <v>-6.7866666666666333</v>
      </c>
      <c r="E3" s="13" t="e">
        <f>IF(Tab_sales[[#This Row],[t]]&gt;2,_xlfn.FORECAST.LINEAR(Tab_sales[[#This Row],[t]],$B2:B$3,$A2:A$3),NA())</f>
        <v>#N/A</v>
      </c>
      <c r="F3" s="13" t="e">
        <f>Tab_sales[[#This Row],[Y]]-Tab_sales[[#This Row],[Linear Forecast]]</f>
        <v>#N/A</v>
      </c>
      <c r="I3" s="1" t="s">
        <v>17</v>
      </c>
      <c r="J3" s="1" t="s">
        <v>27</v>
      </c>
      <c r="M3" s="1" t="s">
        <v>11</v>
      </c>
      <c r="N3" s="1" t="s">
        <v>0</v>
      </c>
      <c r="P3" s="22" t="s">
        <v>48</v>
      </c>
      <c r="Q3" s="23"/>
      <c r="R3" s="24"/>
      <c r="S3" s="29"/>
      <c r="T3" s="29"/>
      <c r="U3" s="29"/>
      <c r="V3" s="26" t="s">
        <v>49</v>
      </c>
      <c r="W3" s="27"/>
      <c r="X3" s="28"/>
    </row>
    <row r="4" spans="1:29" x14ac:dyDescent="0.35">
      <c r="A4" s="3">
        <v>2</v>
      </c>
      <c r="B4" s="5">
        <v>496</v>
      </c>
      <c r="C4" s="13">
        <f>$J$4+$I$4*Tab_sales[[#This Row],[t]]</f>
        <v>487.84144927536232</v>
      </c>
      <c r="D4" s="13">
        <f>Tab_sales[[#This Row],[Y]]-Tab_sales[[#This Row],[Y_hat]]</f>
        <v>8.1585507246376778</v>
      </c>
      <c r="E4" s="13" t="e">
        <f>IF(Tab_sales[[#This Row],[t]]&gt;2,_xlfn.FORECAST.LINEAR(Tab_sales[[#This Row],[t]],$B3:B$3,$A3:A$3),NA())</f>
        <v>#N/A</v>
      </c>
      <c r="F4" s="13" t="e">
        <f>Tab_sales[[#This Row],[Y]]-Tab_sales[[#This Row],[Linear Forecast]]</f>
        <v>#N/A</v>
      </c>
      <c r="H4" s="1" t="s">
        <v>19</v>
      </c>
      <c r="I4" s="12" cm="1">
        <f t="array" ref="I4:J8">LINEST(Tab_sales[Y], Tab_sales[t],TRUE,TRUE)</f>
        <v>5.0547826086956515</v>
      </c>
      <c r="J4" s="13">
        <v>477.731884057971</v>
      </c>
      <c r="M4" s="1" t="s">
        <v>12</v>
      </c>
      <c r="N4" s="1" t="s">
        <v>1</v>
      </c>
      <c r="P4" s="10" cm="1">
        <f t="array" ref="P4:R4">TRANSPOSE(_xlfn.ANCHORARRAY(H12))</f>
        <v>25</v>
      </c>
      <c r="Q4" s="10">
        <v>26</v>
      </c>
      <c r="R4" s="10">
        <v>27</v>
      </c>
      <c r="S4" s="10" cm="1">
        <f t="array" ref="S4:U4">TRANSPOSE(_xlfn.ANCHORARRAY(H12))</f>
        <v>25</v>
      </c>
      <c r="T4" s="10">
        <v>26</v>
      </c>
      <c r="U4" s="10">
        <v>27</v>
      </c>
      <c r="V4" s="10" cm="1">
        <f t="array" ref="V4:X4">TRANSPOSE(_xlfn.ANCHORARRAY(H12))</f>
        <v>25</v>
      </c>
      <c r="W4" s="10">
        <v>26</v>
      </c>
      <c r="X4" s="10">
        <v>27</v>
      </c>
    </row>
    <row r="5" spans="1:29" x14ac:dyDescent="0.35">
      <c r="A5" s="3">
        <v>3</v>
      </c>
      <c r="B5" s="5">
        <v>490</v>
      </c>
      <c r="C5" s="13">
        <f>$J$4+$I$4*Tab_sales[[#This Row],[t]]</f>
        <v>492.89623188405795</v>
      </c>
      <c r="D5" s="13">
        <f>Tab_sales[[#This Row],[Y]]-Tab_sales[[#This Row],[Y_hat]]</f>
        <v>-2.8962318840579542</v>
      </c>
      <c r="E5" s="13">
        <f>IF(Tab_sales[[#This Row],[t]]&gt;2,_xlfn.FORECAST.LINEAR(Tab_sales[[#This Row],[t]],$B$3:B4,$A$3:A4),NA())</f>
        <v>516</v>
      </c>
      <c r="F5" s="13">
        <f>Tab_sales[[#This Row],[Y]]-Tab_sales[[#This Row],[Linear Forecast]]</f>
        <v>-26</v>
      </c>
      <c r="H5" s="1" t="s">
        <v>20</v>
      </c>
      <c r="I5" s="12">
        <v>0.35986284327199802</v>
      </c>
      <c r="J5" s="13">
        <v>5.1419686698540401</v>
      </c>
      <c r="P5" s="11" cm="1">
        <f t="array" aca="1" ref="P5:P14" ca="1">_xlfn.NORM.INV(_xlfn.RANDARRAY($N$8),0,$N$7)</f>
        <v>-22.714843850479888</v>
      </c>
      <c r="Q5" s="11" cm="1">
        <f t="array" aca="1" ref="Q5:Q14" ca="1">_xlfn.NORM.INV(_xlfn.RANDARRAY($N$8),0,$N$7)</f>
        <v>-9.6790153084555755</v>
      </c>
      <c r="R5" s="11" cm="1">
        <f t="array" aca="1" ref="R5:R14" ca="1">_xlfn.NORM.INV(_xlfn.RANDARRAY($N$8),0,$N$7)</f>
        <v>22.499383322414243</v>
      </c>
      <c r="S5" s="11" cm="1">
        <f t="array" ref="S5:S14">_xlfn.SEQUENCE($N$8)*0+S4</f>
        <v>25</v>
      </c>
      <c r="T5" s="11" cm="1">
        <f t="array" ref="T5:T14">_xlfn.SEQUENCE($N$8)*0+T4</f>
        <v>26</v>
      </c>
      <c r="U5" s="11" cm="1">
        <f t="array" ref="U5:U14">_xlfn.SEQUENCE($N$8)*0+U4</f>
        <v>27</v>
      </c>
      <c r="V5" s="11" cm="1">
        <f t="array" aca="1" ref="V5:V14" ca="1">$I$12+_xlfn.ANCHORARRAY(P5)</f>
        <v>581.38660542488242</v>
      </c>
      <c r="W5" s="11" cm="1">
        <f t="array" aca="1" ref="W5:W14" ca="1">_xlfn.BYROW(_xlfn.ANCHORARRAY(V5),_xlfn.LAMBDA(_xlpm.x,_xlfn.FORECAST.LINEAR($T$5,_xlfn.VSTACK(Tab_sales[Y],_xlpm.x),_xlfn.VSTACK(Tab_sales[t],$S$5))))+_xlfn.ANCHORARRAY(Q5)</f>
        <v>595.8428415595256</v>
      </c>
      <c r="X5" s="11" cm="1">
        <f t="array" aca="1" ref="X5:X14" ca="1">_xlfn.BYROW(_xlfn.HSTACK(_xlfn.ANCHORARRAY(V5),_xlfn.ANCHORARRAY(W5)),_xlfn.LAMBDA(_xlpm.x,_xlfn.FORECAST.LINEAR($U$5,_xlfn.VSTACK(Tab_sales[Y],TRANSPOSE(_xlpm.x)),_xlfn.VSTACK(Tab_sales[t],$S$5,$T$5))))+_xlfn.ANCHORARRAY(R5)</f>
        <v>631.37726803917042</v>
      </c>
      <c r="AC5" cm="1">
        <f t="array" aca="1" ref="AC5:AC38" ca="1">_xlfn.VSTACK(Tab_sales[Y],_xlfn.ANCHORARRAY(V5))</f>
        <v>476</v>
      </c>
    </row>
    <row r="6" spans="1:29" x14ac:dyDescent="0.35">
      <c r="A6" s="3">
        <v>4</v>
      </c>
      <c r="B6" s="5">
        <v>487</v>
      </c>
      <c r="C6" s="13">
        <f>$J$4+$I$4*Tab_sales[[#This Row],[t]]</f>
        <v>497.95101449275359</v>
      </c>
      <c r="D6" s="13">
        <f>Tab_sales[[#This Row],[Y]]-Tab_sales[[#This Row],[Y_hat]]</f>
        <v>-10.951014492753586</v>
      </c>
      <c r="E6" s="13">
        <f>IF(Tab_sales[[#This Row],[t]]&gt;2,_xlfn.FORECAST.LINEAR(Tab_sales[[#This Row],[t]],$B$3:B5,$A$3:A5),NA())</f>
        <v>501.33333333333331</v>
      </c>
      <c r="F6" s="13">
        <f>Tab_sales[[#This Row],[Y]]-Tab_sales[[#This Row],[Linear Forecast]]</f>
        <v>-14.333333333333314</v>
      </c>
      <c r="H6" s="1" t="s">
        <v>21</v>
      </c>
      <c r="I6" s="11">
        <v>0.8996816059792454</v>
      </c>
      <c r="J6" s="11">
        <v>12.203542758681907</v>
      </c>
      <c r="K6" s="1" t="s">
        <v>30</v>
      </c>
      <c r="P6" s="11">
        <f ca="1"/>
        <v>14.25644720845014</v>
      </c>
      <c r="Q6" s="11">
        <f ca="1"/>
        <v>24.153867784424172</v>
      </c>
      <c r="R6" s="11">
        <f ca="1"/>
        <v>-18.848487000106466</v>
      </c>
      <c r="S6" s="11">
        <v>25</v>
      </c>
      <c r="T6" s="11">
        <v>26</v>
      </c>
      <c r="U6" s="11">
        <v>27</v>
      </c>
      <c r="V6" s="11">
        <f ca="1"/>
        <v>618.3578964838124</v>
      </c>
      <c r="W6">
        <f ca="1"/>
        <v>635.59113122183408</v>
      </c>
      <c r="X6">
        <f ca="1"/>
        <v>601.4911366793732</v>
      </c>
      <c r="AC6">
        <f ca="1"/>
        <v>496</v>
      </c>
    </row>
    <row r="7" spans="1:29" x14ac:dyDescent="0.35">
      <c r="A7" s="3">
        <v>5</v>
      </c>
      <c r="B7" s="5">
        <v>472</v>
      </c>
      <c r="C7" s="13">
        <f>$J$4+$I$4*Tab_sales[[#This Row],[t]]</f>
        <v>503.00579710144928</v>
      </c>
      <c r="D7" s="13">
        <f>Tab_sales[[#This Row],[Y]]-Tab_sales[[#This Row],[Y_hat]]</f>
        <v>-31.005797101449275</v>
      </c>
      <c r="E7" s="13">
        <f>IF(Tab_sales[[#This Row],[t]]&gt;2,_xlfn.FORECAST.LINEAR(Tab_sales[[#This Row],[t]],$B$3:B6,$A$3:A6),NA())</f>
        <v>494</v>
      </c>
      <c r="F7" s="13">
        <f>Tab_sales[[#This Row],[Y]]-Tab_sales[[#This Row],[Linear Forecast]]</f>
        <v>-22</v>
      </c>
      <c r="H7" s="1" t="s">
        <v>22</v>
      </c>
      <c r="I7" s="13">
        <v>197.30175632046587</v>
      </c>
      <c r="J7">
        <v>22</v>
      </c>
      <c r="K7" s="1" t="s">
        <v>25</v>
      </c>
      <c r="M7" s="25" t="s">
        <v>46</v>
      </c>
      <c r="N7" s="11">
        <f>_xlfn.STDEV.S(Tab_sales[Error IS])</f>
        <v>11.935300271236889</v>
      </c>
      <c r="P7" s="11">
        <f ca="1"/>
        <v>12.826385670025138</v>
      </c>
      <c r="Q7" s="11">
        <f ca="1"/>
        <v>16.348292101564613</v>
      </c>
      <c r="R7" s="11">
        <f ca="1"/>
        <v>11.381476443860151</v>
      </c>
      <c r="S7" s="11">
        <v>25</v>
      </c>
      <c r="T7" s="11">
        <v>26</v>
      </c>
      <c r="U7" s="11">
        <v>27</v>
      </c>
      <c r="V7" s="11">
        <f ca="1"/>
        <v>616.92783494538742</v>
      </c>
      <c r="W7">
        <f ca="1"/>
        <v>627.55674569282667</v>
      </c>
      <c r="X7">
        <f ca="1"/>
        <v>630.27823191178197</v>
      </c>
      <c r="AC7">
        <f ca="1"/>
        <v>490</v>
      </c>
    </row>
    <row r="8" spans="1:29" x14ac:dyDescent="0.35">
      <c r="A8" s="3">
        <v>6</v>
      </c>
      <c r="B8" s="5">
        <v>501</v>
      </c>
      <c r="C8" s="13">
        <f>$J$4+$I$4*Tab_sales[[#This Row],[t]]</f>
        <v>508.06057971014491</v>
      </c>
      <c r="D8" s="13">
        <f>Tab_sales[[#This Row],[Y]]-Tab_sales[[#This Row],[Y_hat]]</f>
        <v>-7.060579710144907</v>
      </c>
      <c r="E8" s="13">
        <f>IF(Tab_sales[[#This Row],[t]]&gt;2,_xlfn.FORECAST.LINEAR(Tab_sales[[#This Row],[t]],$B$3:B7,$A$3:A7),NA())</f>
        <v>479.1</v>
      </c>
      <c r="F8" s="13">
        <f>Tab_sales[[#This Row],[Y]]-Tab_sales[[#This Row],[Linear Forecast]]</f>
        <v>21.899999999999977</v>
      </c>
      <c r="H8" s="1" t="s">
        <v>23</v>
      </c>
      <c r="I8" s="13">
        <v>29383.451304347822</v>
      </c>
      <c r="J8" s="13">
        <v>3276.3820289855075</v>
      </c>
      <c r="K8" s="1" t="s">
        <v>26</v>
      </c>
      <c r="M8" s="25" t="s">
        <v>47</v>
      </c>
      <c r="N8">
        <v>10</v>
      </c>
      <c r="P8" s="11">
        <f ca="1"/>
        <v>5.5466101439796001</v>
      </c>
      <c r="Q8" s="11">
        <f ca="1"/>
        <v>-16.671651591762068</v>
      </c>
      <c r="R8" s="11">
        <f ca="1"/>
        <v>-0.14380147913085761</v>
      </c>
      <c r="S8" s="11">
        <v>25</v>
      </c>
      <c r="T8" s="11">
        <v>26</v>
      </c>
      <c r="U8" s="11">
        <v>27</v>
      </c>
      <c r="V8" s="11">
        <f ca="1"/>
        <v>609.64805941934185</v>
      </c>
      <c r="W8">
        <f ca="1"/>
        <v>593.37203791533261</v>
      </c>
      <c r="X8">
        <f ca="1"/>
        <v>612.44100063925589</v>
      </c>
      <c r="AC8">
        <f ca="1"/>
        <v>487</v>
      </c>
    </row>
    <row r="9" spans="1:29" x14ac:dyDescent="0.35">
      <c r="A9" s="3">
        <v>7</v>
      </c>
      <c r="B9" s="5">
        <v>519</v>
      </c>
      <c r="C9" s="13">
        <f>$J$4+$I$4*Tab_sales[[#This Row],[t]]</f>
        <v>513.11536231884054</v>
      </c>
      <c r="D9" s="13">
        <f>Tab_sales[[#This Row],[Y]]-Tab_sales[[#This Row],[Y_hat]]</f>
        <v>5.884637681159461</v>
      </c>
      <c r="E9" s="13">
        <f>IF(Tab_sales[[#This Row],[t]]&gt;2,_xlfn.FORECAST.LINEAR(Tab_sales[[#This Row],[t]],$B$3:B8,$A$3:A8),NA())</f>
        <v>492</v>
      </c>
      <c r="F9" s="13">
        <f>Tab_sales[[#This Row],[Y]]-Tab_sales[[#This Row],[Linear Forecast]]</f>
        <v>27</v>
      </c>
      <c r="P9" s="11">
        <f ca="1"/>
        <v>-4.4653754498300673</v>
      </c>
      <c r="Q9" s="11">
        <f ca="1"/>
        <v>4.5440624952169504</v>
      </c>
      <c r="R9" s="11">
        <f ca="1"/>
        <v>21.040733392911839</v>
      </c>
      <c r="S9" s="11">
        <v>25</v>
      </c>
      <c r="T9" s="11">
        <v>26</v>
      </c>
      <c r="U9" s="11">
        <v>27</v>
      </c>
      <c r="V9" s="11">
        <f ca="1"/>
        <v>599.63607382553221</v>
      </c>
      <c r="W9">
        <f ca="1"/>
        <v>612.98583430730207</v>
      </c>
      <c r="X9">
        <f ca="1"/>
        <v>635.19515550111225</v>
      </c>
      <c r="AC9">
        <f ca="1"/>
        <v>472</v>
      </c>
    </row>
    <row r="10" spans="1:29" x14ac:dyDescent="0.35">
      <c r="A10" s="3">
        <v>8</v>
      </c>
      <c r="B10" s="5">
        <v>536</v>
      </c>
      <c r="C10" s="13">
        <f>$J$4+$I$4*Tab_sales[[#This Row],[t]]</f>
        <v>518.17014492753617</v>
      </c>
      <c r="D10" s="13">
        <f>Tab_sales[[#This Row],[Y]]-Tab_sales[[#This Row],[Y_hat]]</f>
        <v>17.829855072463829</v>
      </c>
      <c r="E10" s="13">
        <f>IF(Tab_sales[[#This Row],[t]]&gt;2,_xlfn.FORECAST.LINEAR(Tab_sales[[#This Row],[t]],$B$3:B9,$A$3:A9),NA())</f>
        <v>508.85714285714283</v>
      </c>
      <c r="F10" s="13">
        <f>Tab_sales[[#This Row],[Y]]-Tab_sales[[#This Row],[Linear Forecast]]</f>
        <v>27.142857142857167</v>
      </c>
      <c r="P10" s="11">
        <f ca="1"/>
        <v>-3.4274674353689498</v>
      </c>
      <c r="Q10" s="11">
        <f ca="1"/>
        <v>5.7082813136268422</v>
      </c>
      <c r="R10" s="11">
        <f ca="1"/>
        <v>-15.364632654733519</v>
      </c>
      <c r="S10" s="11">
        <v>25</v>
      </c>
      <c r="T10" s="11">
        <v>26</v>
      </c>
      <c r="U10" s="11">
        <v>27</v>
      </c>
      <c r="V10" s="11">
        <f ca="1"/>
        <v>600.6739818399933</v>
      </c>
      <c r="W10">
        <f ca="1"/>
        <v>614.31611840802566</v>
      </c>
      <c r="X10">
        <f ca="1"/>
        <v>599.1445460125924</v>
      </c>
      <c r="AC10">
        <f ca="1"/>
        <v>501</v>
      </c>
    </row>
    <row r="11" spans="1:29" x14ac:dyDescent="0.35">
      <c r="A11" s="3">
        <v>9</v>
      </c>
      <c r="B11" s="5">
        <v>539</v>
      </c>
      <c r="C11" s="13">
        <f>$J$4+$I$4*Tab_sales[[#This Row],[t]]</f>
        <v>523.22492753623192</v>
      </c>
      <c r="D11" s="13">
        <f>Tab_sales[[#This Row],[Y]]-Tab_sales[[#This Row],[Y_hat]]</f>
        <v>15.775072463768083</v>
      </c>
      <c r="E11" s="13">
        <f>IF(Tab_sales[[#This Row],[t]]&gt;2,_xlfn.FORECAST.LINEAR(Tab_sales[[#This Row],[t]],$B$3:B10,$A$3:A10),NA())</f>
        <v>526.75</v>
      </c>
      <c r="F11" s="13">
        <f>Tab_sales[[#This Row],[Y]]-Tab_sales[[#This Row],[Linear Forecast]]</f>
        <v>12.25</v>
      </c>
      <c r="H11" s="14" t="s">
        <v>11</v>
      </c>
      <c r="I11" s="14" t="s">
        <v>28</v>
      </c>
      <c r="J11" s="14" t="s">
        <v>29</v>
      </c>
      <c r="P11" s="11">
        <f ca="1"/>
        <v>3.7899009140228452</v>
      </c>
      <c r="Q11" s="11">
        <f ca="1"/>
        <v>9.6098879757029074</v>
      </c>
      <c r="R11" s="11">
        <f ca="1"/>
        <v>-11.052021108203189</v>
      </c>
      <c r="S11" s="11">
        <v>25</v>
      </c>
      <c r="T11" s="11">
        <v>26</v>
      </c>
      <c r="U11" s="11">
        <v>27</v>
      </c>
      <c r="V11" s="11">
        <f ca="1"/>
        <v>607.89135018938509</v>
      </c>
      <c r="W11">
        <f ca="1"/>
        <v>619.37250400600453</v>
      </c>
      <c r="X11">
        <f ca="1"/>
        <v>605.27880553549323</v>
      </c>
      <c r="AC11">
        <f ca="1"/>
        <v>519</v>
      </c>
    </row>
    <row r="12" spans="1:29" x14ac:dyDescent="0.35">
      <c r="A12" s="3">
        <v>10</v>
      </c>
      <c r="B12" s="5">
        <v>522</v>
      </c>
      <c r="C12" s="13">
        <f>$J$4+$I$4*Tab_sales[[#This Row],[t]]</f>
        <v>528.27971014492755</v>
      </c>
      <c r="D12" s="13">
        <f>Tab_sales[[#This Row],[Y]]-Tab_sales[[#This Row],[Y_hat]]</f>
        <v>-6.2797101449275488</v>
      </c>
      <c r="E12" s="13">
        <f>IF(Tab_sales[[#This Row],[t]]&gt;2,_xlfn.FORECAST.LINEAR(Tab_sales[[#This Row],[t]],$B$3:B11,$A$3:A11),NA())</f>
        <v>538.77777777777783</v>
      </c>
      <c r="F12" s="13">
        <f>Tab_sales[[#This Row],[Y]]-Tab_sales[[#This Row],[Linear Forecast]]</f>
        <v>-16.777777777777828</v>
      </c>
      <c r="H12" s="2" cm="1">
        <f t="array" ref="H12:H14">_xlfn.SEQUENCE(3,1,COUNT(Tab_sales[t])+1)</f>
        <v>25</v>
      </c>
      <c r="I12" s="13" cm="1">
        <f t="array" ref="I12:I14">$J$4+$I$4*_xlfn.ANCHORARRAY(H12)</f>
        <v>604.10144927536226</v>
      </c>
      <c r="J12" s="13" cm="1">
        <f t="array" ref="J12:J14">_xlfn.FORECAST.LINEAR(_xlfn.ANCHORARRAY(H12),Tab_sales[Y],Tab_sales[t])</f>
        <v>604.10144927536226</v>
      </c>
      <c r="P12" s="11">
        <f ca="1"/>
        <v>-19.914894635379362</v>
      </c>
      <c r="Q12" s="11">
        <f ca="1"/>
        <v>-14.185059097796605</v>
      </c>
      <c r="R12" s="11">
        <f ca="1"/>
        <v>7.5783504358947962</v>
      </c>
      <c r="S12" s="11">
        <v>25</v>
      </c>
      <c r="T12" s="11">
        <v>26</v>
      </c>
      <c r="U12" s="11">
        <v>27</v>
      </c>
      <c r="V12" s="11">
        <f ca="1"/>
        <v>584.18655463998289</v>
      </c>
      <c r="W12">
        <f ca="1"/>
        <v>591.78478964460055</v>
      </c>
      <c r="X12">
        <f ca="1"/>
        <v>616.23683520607699</v>
      </c>
      <c r="AC12">
        <f ca="1"/>
        <v>536</v>
      </c>
    </row>
    <row r="13" spans="1:29" x14ac:dyDescent="0.35">
      <c r="A13" s="3">
        <v>11</v>
      </c>
      <c r="B13" s="5">
        <v>546</v>
      </c>
      <c r="C13" s="13">
        <f>$J$4+$I$4*Tab_sales[[#This Row],[t]]</f>
        <v>533.33449275362318</v>
      </c>
      <c r="D13" s="13">
        <f>Tab_sales[[#This Row],[Y]]-Tab_sales[[#This Row],[Y_hat]]</f>
        <v>12.665507246376819</v>
      </c>
      <c r="E13" s="13">
        <f>IF(Tab_sales[[#This Row],[t]]&gt;2,_xlfn.FORECAST.LINEAR(Tab_sales[[#This Row],[t]],$B$3:B12,$A$3:A12),NA())</f>
        <v>539.4666666666667</v>
      </c>
      <c r="F13" s="13">
        <f>Tab_sales[[#This Row],[Y]]-Tab_sales[[#This Row],[Linear Forecast]]</f>
        <v>6.533333333333303</v>
      </c>
      <c r="H13" s="2">
        <v>26</v>
      </c>
      <c r="I13" s="13">
        <v>609.15623188405789</v>
      </c>
      <c r="J13" s="13">
        <v>609.156231884058</v>
      </c>
      <c r="P13" s="11">
        <f ca="1"/>
        <v>1.6206614098434577</v>
      </c>
      <c r="Q13" s="11">
        <f ca="1"/>
        <v>-10.705660701883195</v>
      </c>
      <c r="R13" s="11">
        <f ca="1"/>
        <v>21.125316814536482</v>
      </c>
      <c r="S13" s="11">
        <v>25</v>
      </c>
      <c r="T13" s="11">
        <v>26</v>
      </c>
      <c r="U13" s="11">
        <v>27</v>
      </c>
      <c r="V13" s="11">
        <f ca="1"/>
        <v>605.72211068520573</v>
      </c>
      <c r="W13">
        <f ca="1"/>
        <v>598.7098770077497</v>
      </c>
      <c r="X13">
        <f ca="1"/>
        <v>633.96357236097379</v>
      </c>
      <c r="AC13">
        <f ca="1"/>
        <v>539</v>
      </c>
    </row>
    <row r="14" spans="1:29" x14ac:dyDescent="0.35">
      <c r="A14" s="3">
        <v>12</v>
      </c>
      <c r="B14" s="5">
        <v>547</v>
      </c>
      <c r="C14" s="13">
        <f>$J$4+$I$4*Tab_sales[[#This Row],[t]]</f>
        <v>538.38927536231881</v>
      </c>
      <c r="D14" s="13">
        <f>Tab_sales[[#This Row],[Y]]-Tab_sales[[#This Row],[Y_hat]]</f>
        <v>8.6107246376811872</v>
      </c>
      <c r="E14" s="13">
        <f>IF(Tab_sales[[#This Row],[t]]&gt;2,_xlfn.FORECAST.LINEAR(Tab_sales[[#This Row],[t]],$B$3:B13,$A$3:A13),NA())</f>
        <v>548.32727272727277</v>
      </c>
      <c r="F14" s="13">
        <f>Tab_sales[[#This Row],[Y]]-Tab_sales[[#This Row],[Linear Forecast]]</f>
        <v>-1.3272727272727707</v>
      </c>
      <c r="H14" s="2">
        <v>27</v>
      </c>
      <c r="I14" s="13">
        <v>614.21101449275363</v>
      </c>
      <c r="J14" s="13">
        <v>614.21101449275363</v>
      </c>
      <c r="P14" s="11">
        <f ca="1"/>
        <v>-23.370307924817631</v>
      </c>
      <c r="Q14" s="11">
        <f ca="1"/>
        <v>15.805445266047018</v>
      </c>
      <c r="R14" s="11">
        <f ca="1"/>
        <v>8.7256477811385142</v>
      </c>
      <c r="S14" s="11">
        <v>25</v>
      </c>
      <c r="T14" s="11">
        <v>26</v>
      </c>
      <c r="U14" s="11">
        <v>27</v>
      </c>
      <c r="V14" s="11">
        <f ca="1"/>
        <v>580.73114135054459</v>
      </c>
      <c r="W14">
        <f ca="1"/>
        <v>621.22242788213418</v>
      </c>
      <c r="X14">
        <f ca="1"/>
        <v>621.41329405062254</v>
      </c>
      <c r="AC14">
        <f ca="1"/>
        <v>522</v>
      </c>
    </row>
    <row r="15" spans="1:29" x14ac:dyDescent="0.35">
      <c r="A15" s="3">
        <v>13</v>
      </c>
      <c r="B15" s="5">
        <v>562</v>
      </c>
      <c r="C15" s="13">
        <f>$J$4+$I$4*Tab_sales[[#This Row],[t]]</f>
        <v>543.44405797101444</v>
      </c>
      <c r="D15" s="13">
        <f>Tab_sales[[#This Row],[Y]]-Tab_sales[[#This Row],[Y_hat]]</f>
        <v>18.555942028985555</v>
      </c>
      <c r="E15" s="13">
        <f>IF(Tab_sales[[#This Row],[t]]&gt;2,_xlfn.FORECAST.LINEAR(Tab_sales[[#This Row],[t]],$B$3:B14,$A$3:A14),NA())</f>
        <v>554.66666666666674</v>
      </c>
      <c r="F15" s="13">
        <f>Tab_sales[[#This Row],[Y]]-Tab_sales[[#This Row],[Linear Forecast]]</f>
        <v>7.3333333333332575</v>
      </c>
      <c r="P15" s="11"/>
      <c r="Q15" s="11"/>
      <c r="R15" s="11"/>
      <c r="S15" s="11"/>
      <c r="T15" s="11"/>
      <c r="U15" s="11"/>
      <c r="V15" s="11"/>
      <c r="AC15">
        <f ca="1"/>
        <v>546</v>
      </c>
    </row>
    <row r="16" spans="1:29" x14ac:dyDescent="0.35">
      <c r="A16" s="3">
        <v>14</v>
      </c>
      <c r="B16" s="5">
        <v>541</v>
      </c>
      <c r="C16" s="13">
        <f>$J$4+$I$4*Tab_sales[[#This Row],[t]]</f>
        <v>548.49884057971008</v>
      </c>
      <c r="D16" s="13">
        <f>Tab_sales[[#This Row],[Y]]-Tab_sales[[#This Row],[Y_hat]]</f>
        <v>-7.4988405797100768</v>
      </c>
      <c r="E16" s="13">
        <f>IF(Tab_sales[[#This Row],[t]]&gt;2,_xlfn.FORECAST.LINEAR(Tab_sales[[#This Row],[t]],$B$3:B15,$A$3:A15),NA())</f>
        <v>563.65384615384608</v>
      </c>
      <c r="F16" s="13">
        <f>Tab_sales[[#This Row],[Y]]-Tab_sales[[#This Row],[Linear Forecast]]</f>
        <v>-22.653846153846075</v>
      </c>
      <c r="H16" s="1" t="s">
        <v>31</v>
      </c>
      <c r="I16" s="13" cm="1">
        <f t="array" ref="I16">SQRT(SUMSQ(_xlfn._xlws.FILTER(Tab_sales[Error OS],Tab_sales[t]&gt;2))/(COUNT(Tab_sales[Error OS])-1))</f>
        <v>16.55097336626655</v>
      </c>
      <c r="P16" s="11"/>
      <c r="Q16" s="11"/>
      <c r="R16" s="11"/>
      <c r="S16" s="11"/>
      <c r="T16" s="11"/>
      <c r="U16" s="11"/>
      <c r="V16" s="11"/>
      <c r="AC16">
        <f ca="1"/>
        <v>547</v>
      </c>
    </row>
    <row r="17" spans="1:29" x14ac:dyDescent="0.35">
      <c r="A17" s="3">
        <v>15</v>
      </c>
      <c r="B17" s="5">
        <v>567</v>
      </c>
      <c r="C17" s="13">
        <f>$J$4+$I$4*Tab_sales[[#This Row],[t]]</f>
        <v>553.55362318840582</v>
      </c>
      <c r="D17" s="13">
        <f>Tab_sales[[#This Row],[Y]]-Tab_sales[[#This Row],[Y_hat]]</f>
        <v>13.446376811594178</v>
      </c>
      <c r="E17" s="13">
        <f>IF(Tab_sales[[#This Row],[t]]&gt;2,_xlfn.FORECAST.LINEAR(Tab_sales[[#This Row],[t]],$B$3:B16,$A$3:A16),NA())</f>
        <v>564.15384615384619</v>
      </c>
      <c r="F17" s="13">
        <f>Tab_sales[[#This Row],[Y]]-Tab_sales[[#This Row],[Linear Forecast]]</f>
        <v>2.8461538461538112</v>
      </c>
      <c r="P17" s="11"/>
      <c r="Q17" s="11"/>
      <c r="R17" s="11"/>
      <c r="S17" s="11"/>
      <c r="T17" s="11"/>
      <c r="U17" s="11"/>
      <c r="V17" s="11"/>
      <c r="AC17">
        <f ca="1"/>
        <v>562</v>
      </c>
    </row>
    <row r="18" spans="1:29" x14ac:dyDescent="0.35">
      <c r="A18" s="3">
        <v>16</v>
      </c>
      <c r="B18" s="5">
        <v>555</v>
      </c>
      <c r="C18" s="13">
        <f>$J$4+$I$4*Tab_sales[[#This Row],[t]]</f>
        <v>558.60840579710145</v>
      </c>
      <c r="D18" s="13">
        <f>Tab_sales[[#This Row],[Y]]-Tab_sales[[#This Row],[Y_hat]]</f>
        <v>-3.6084057971014545</v>
      </c>
      <c r="E18" s="13">
        <f>IF(Tab_sales[[#This Row],[t]]&gt;2,_xlfn.FORECAST.LINEAR(Tab_sales[[#This Row],[t]],$B$3:B17,$A$3:A17),NA())</f>
        <v>571.2380952380953</v>
      </c>
      <c r="F18" s="13">
        <f>Tab_sales[[#This Row],[Y]]-Tab_sales[[#This Row],[Linear Forecast]]</f>
        <v>-16.238095238095298</v>
      </c>
      <c r="P18" s="11"/>
      <c r="Q18" s="11"/>
      <c r="R18" s="11"/>
      <c r="S18" s="11"/>
      <c r="T18" s="11"/>
      <c r="U18" s="11"/>
      <c r="V18" s="11"/>
      <c r="AC18">
        <f ca="1"/>
        <v>541</v>
      </c>
    </row>
    <row r="19" spans="1:29" x14ac:dyDescent="0.35">
      <c r="A19" s="3">
        <v>17</v>
      </c>
      <c r="B19" s="5">
        <v>559</v>
      </c>
      <c r="C19" s="13">
        <f>$J$4+$I$4*Tab_sales[[#This Row],[t]]</f>
        <v>563.66318840579709</v>
      </c>
      <c r="D19" s="13">
        <f>Tab_sales[[#This Row],[Y]]-Tab_sales[[#This Row],[Y_hat]]</f>
        <v>-4.6631884057970865</v>
      </c>
      <c r="E19" s="13">
        <f>IF(Tab_sales[[#This Row],[t]]&gt;2,_xlfn.FORECAST.LINEAR(Tab_sales[[#This Row],[t]],$B$3:B18,$A$3:A18),NA())</f>
        <v>573.57500000000005</v>
      </c>
      <c r="F19" s="13">
        <f>Tab_sales[[#This Row],[Y]]-Tab_sales[[#This Row],[Linear Forecast]]</f>
        <v>-14.575000000000045</v>
      </c>
      <c r="P19" s="11"/>
      <c r="Q19" s="11"/>
      <c r="R19" s="11"/>
      <c r="S19" s="11"/>
      <c r="T19" s="11"/>
      <c r="U19" s="11"/>
      <c r="V19" s="11"/>
      <c r="AC19">
        <f ca="1"/>
        <v>567</v>
      </c>
    </row>
    <row r="20" spans="1:29" x14ac:dyDescent="0.35">
      <c r="A20" s="3">
        <v>18</v>
      </c>
      <c r="B20" s="5">
        <v>569</v>
      </c>
      <c r="C20" s="13">
        <f>$J$4+$I$4*Tab_sales[[#This Row],[t]]</f>
        <v>568.71797101449272</v>
      </c>
      <c r="D20" s="13">
        <f>Tab_sales[[#This Row],[Y]]-Tab_sales[[#This Row],[Y_hat]]</f>
        <v>0.2820289855072815</v>
      </c>
      <c r="E20" s="13">
        <f>IF(Tab_sales[[#This Row],[t]]&gt;2,_xlfn.FORECAST.LINEAR(Tab_sales[[#This Row],[t]],$B$3:B19,$A$3:A19),NA())</f>
        <v>576.18382352941171</v>
      </c>
      <c r="F20" s="13">
        <f>Tab_sales[[#This Row],[Y]]-Tab_sales[[#This Row],[Linear Forecast]]</f>
        <v>-7.1838235294117112</v>
      </c>
      <c r="P20" s="11"/>
      <c r="Q20" s="11"/>
      <c r="R20" s="11"/>
      <c r="S20" s="11"/>
      <c r="T20" s="11"/>
      <c r="U20" s="11"/>
      <c r="V20" s="11"/>
      <c r="AC20">
        <f ca="1"/>
        <v>555</v>
      </c>
    </row>
    <row r="21" spans="1:29" x14ac:dyDescent="0.35">
      <c r="A21" s="3">
        <v>19</v>
      </c>
      <c r="B21" s="5">
        <v>582</v>
      </c>
      <c r="C21" s="13">
        <f>$J$4+$I$4*Tab_sales[[#This Row],[t]]</f>
        <v>573.77275362318835</v>
      </c>
      <c r="D21" s="13">
        <f>Tab_sales[[#This Row],[Y]]-Tab_sales[[#This Row],[Y_hat]]</f>
        <v>8.2272463768116495</v>
      </c>
      <c r="E21" s="13">
        <f>IF(Tab_sales[[#This Row],[t]]&gt;2,_xlfn.FORECAST.LINEAR(Tab_sales[[#This Row],[t]],$B$3:B20,$A$3:A20),NA())</f>
        <v>580.33986928104582</v>
      </c>
      <c r="F21" s="13">
        <f>Tab_sales[[#This Row],[Y]]-Tab_sales[[#This Row],[Linear Forecast]]</f>
        <v>1.6601307189541785</v>
      </c>
      <c r="P21" s="11"/>
      <c r="Q21" s="11"/>
      <c r="R21" s="11"/>
      <c r="S21" s="11"/>
      <c r="T21" s="11"/>
      <c r="U21" s="11"/>
      <c r="V21" s="11"/>
      <c r="AC21">
        <f ca="1"/>
        <v>559</v>
      </c>
    </row>
    <row r="22" spans="1:29" x14ac:dyDescent="0.35">
      <c r="A22" s="3">
        <v>20</v>
      </c>
      <c r="B22" s="5">
        <v>578</v>
      </c>
      <c r="C22" s="13">
        <f>$J$4+$I$4*Tab_sales[[#This Row],[t]]</f>
        <v>578.8275362318841</v>
      </c>
      <c r="D22" s="13">
        <f>Tab_sales[[#This Row],[Y]]-Tab_sales[[#This Row],[Y_hat]]</f>
        <v>-0.8275362318840962</v>
      </c>
      <c r="E22" s="13">
        <f>IF(Tab_sales[[#This Row],[t]]&gt;2,_xlfn.FORECAST.LINEAR(Tab_sales[[#This Row],[t]],$B$3:B21,$A$3:A21),NA())</f>
        <v>586.31578947368428</v>
      </c>
      <c r="F22" s="13">
        <f>Tab_sales[[#This Row],[Y]]-Tab_sales[[#This Row],[Linear Forecast]]</f>
        <v>-8.3157894736842763</v>
      </c>
      <c r="P22" s="11"/>
      <c r="Q22" s="11"/>
      <c r="R22" s="11"/>
      <c r="S22" s="11"/>
      <c r="T22" s="11"/>
      <c r="U22" s="11"/>
      <c r="V22" s="11"/>
      <c r="AC22">
        <f ca="1"/>
        <v>569</v>
      </c>
    </row>
    <row r="23" spans="1:29" x14ac:dyDescent="0.35">
      <c r="A23" s="3">
        <v>21</v>
      </c>
      <c r="B23" s="5">
        <v>571</v>
      </c>
      <c r="C23" s="13">
        <f>$J$4+$I$4*Tab_sales[[#This Row],[t]]</f>
        <v>583.88231884057973</v>
      </c>
      <c r="D23" s="13">
        <f>Tab_sales[[#This Row],[Y]]-Tab_sales[[#This Row],[Y_hat]]</f>
        <v>-12.882318840579728</v>
      </c>
      <c r="E23" s="13">
        <f>IF(Tab_sales[[#This Row],[t]]&gt;2,_xlfn.FORECAST.LINEAR(Tab_sales[[#This Row],[t]],$B$3:B22,$A$3:A22),NA())</f>
        <v>590.30526315789473</v>
      </c>
      <c r="F23" s="13">
        <f>Tab_sales[[#This Row],[Y]]-Tab_sales[[#This Row],[Linear Forecast]]</f>
        <v>-19.305263157894728</v>
      </c>
      <c r="P23" s="11"/>
      <c r="Q23" s="11"/>
      <c r="R23" s="11"/>
      <c r="S23" s="11"/>
      <c r="T23" s="11"/>
      <c r="U23" s="11"/>
      <c r="V23" s="11"/>
      <c r="AC23">
        <f ca="1"/>
        <v>582</v>
      </c>
    </row>
    <row r="24" spans="1:29" x14ac:dyDescent="0.35">
      <c r="A24" s="3">
        <v>22</v>
      </c>
      <c r="B24" s="5">
        <v>576</v>
      </c>
      <c r="C24" s="13">
        <f>$J$4+$I$4*Tab_sales[[#This Row],[t]]</f>
        <v>588.93710144927536</v>
      </c>
      <c r="D24" s="13">
        <f>Tab_sales[[#This Row],[Y]]-Tab_sales[[#This Row],[Y_hat]]</f>
        <v>-12.93710144927536</v>
      </c>
      <c r="E24" s="13">
        <f>IF(Tab_sales[[#This Row],[t]]&gt;2,_xlfn.FORECAST.LINEAR(Tab_sales[[#This Row],[t]],$B$3:B23,$A$3:A23),NA())</f>
        <v>592.16190476190468</v>
      </c>
      <c r="F24" s="13">
        <f>Tab_sales[[#This Row],[Y]]-Tab_sales[[#This Row],[Linear Forecast]]</f>
        <v>-16.16190476190468</v>
      </c>
      <c r="P24" s="11"/>
      <c r="Q24" s="11"/>
      <c r="R24" s="11"/>
      <c r="S24" s="11"/>
      <c r="T24" s="11"/>
      <c r="U24" s="11"/>
      <c r="V24" s="11"/>
      <c r="AC24">
        <f ca="1"/>
        <v>578</v>
      </c>
    </row>
    <row r="25" spans="1:29" x14ac:dyDescent="0.35">
      <c r="A25" s="3">
        <v>23</v>
      </c>
      <c r="B25" s="5">
        <v>601</v>
      </c>
      <c r="C25" s="13">
        <f>$J$4+$I$4*Tab_sales[[#This Row],[t]]</f>
        <v>593.99188405797099</v>
      </c>
      <c r="D25" s="13">
        <f>Tab_sales[[#This Row],[Y]]-Tab_sales[[#This Row],[Y_hat]]</f>
        <v>7.0081159420290078</v>
      </c>
      <c r="E25" s="13">
        <f>IF(Tab_sales[[#This Row],[t]]&gt;2,_xlfn.FORECAST.LINEAR(Tab_sales[[#This Row],[t]],$B$3:B24,$A$3:A24),NA())</f>
        <v>594.5064935064936</v>
      </c>
      <c r="F25" s="13">
        <f>Tab_sales[[#This Row],[Y]]-Tab_sales[[#This Row],[Linear Forecast]]</f>
        <v>6.493506493506402</v>
      </c>
      <c r="AC25">
        <f ca="1"/>
        <v>571</v>
      </c>
    </row>
    <row r="26" spans="1:29" x14ac:dyDescent="0.35">
      <c r="A26" s="8">
        <v>24</v>
      </c>
      <c r="B26" s="9">
        <v>590</v>
      </c>
      <c r="C26" s="13">
        <f>$J$4+$I$4*Tab_sales[[#This Row],[t]]</f>
        <v>599.04666666666662</v>
      </c>
      <c r="D26" s="13">
        <f>Tab_sales[[#This Row],[Y]]-Tab_sales[[#This Row],[Y_hat]]</f>
        <v>-9.0466666666666242</v>
      </c>
      <c r="E26" s="13">
        <f>IF(Tab_sales[[#This Row],[t]]&gt;2,_xlfn.FORECAST.LINEAR(Tab_sales[[#This Row],[t]],$B$3:B25,$A$3:A25),NA())</f>
        <v>600.72727272727275</v>
      </c>
      <c r="F26" s="13">
        <f>Tab_sales[[#This Row],[Y]]-Tab_sales[[#This Row],[Linear Forecast]]</f>
        <v>-10.727272727272748</v>
      </c>
      <c r="AC26">
        <f ca="1"/>
        <v>576</v>
      </c>
    </row>
    <row r="27" spans="1:29" x14ac:dyDescent="0.35">
      <c r="AC27">
        <f ca="1"/>
        <v>601</v>
      </c>
    </row>
    <row r="28" spans="1:29" x14ac:dyDescent="0.35">
      <c r="AC28">
        <f ca="1"/>
        <v>590</v>
      </c>
    </row>
    <row r="29" spans="1:29" x14ac:dyDescent="0.35">
      <c r="AC29">
        <f ca="1"/>
        <v>581.38660542488242</v>
      </c>
    </row>
    <row r="30" spans="1:29" x14ac:dyDescent="0.35">
      <c r="AC30">
        <f ca="1"/>
        <v>618.3578964838124</v>
      </c>
    </row>
    <row r="31" spans="1:29" x14ac:dyDescent="0.35">
      <c r="AC31">
        <f ca="1"/>
        <v>616.92783494538742</v>
      </c>
    </row>
    <row r="32" spans="1:29" x14ac:dyDescent="0.35">
      <c r="AC32">
        <f ca="1"/>
        <v>609.64805941934185</v>
      </c>
    </row>
    <row r="33" spans="29:29" x14ac:dyDescent="0.35">
      <c r="AC33">
        <f ca="1"/>
        <v>599.63607382553221</v>
      </c>
    </row>
    <row r="34" spans="29:29" x14ac:dyDescent="0.35">
      <c r="AC34">
        <f ca="1"/>
        <v>600.6739818399933</v>
      </c>
    </row>
    <row r="35" spans="29:29" x14ac:dyDescent="0.35">
      <c r="AC35">
        <f ca="1"/>
        <v>607.89135018938509</v>
      </c>
    </row>
    <row r="36" spans="29:29" x14ac:dyDescent="0.35">
      <c r="AC36">
        <f ca="1"/>
        <v>584.18655463998289</v>
      </c>
    </row>
    <row r="37" spans="29:29" x14ac:dyDescent="0.35">
      <c r="AC37">
        <f ca="1"/>
        <v>605.72211068520573</v>
      </c>
    </row>
    <row r="38" spans="29:29" x14ac:dyDescent="0.35">
      <c r="AC38">
        <f ca="1"/>
        <v>580.73114135054459</v>
      </c>
    </row>
  </sheetData>
  <mergeCells count="2">
    <mergeCell ref="P3:R3"/>
    <mergeCell ref="V3:X3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50AE3-9BFE-46DB-93F6-C69F29A1661B}">
  <dimension ref="A1:AA18"/>
  <sheetViews>
    <sheetView topLeftCell="G14" zoomScale="150" zoomScaleNormal="150" workbookViewId="0">
      <selection activeCell="T17" sqref="T17"/>
    </sheetView>
  </sheetViews>
  <sheetFormatPr defaultRowHeight="14.5" x14ac:dyDescent="0.35"/>
  <cols>
    <col min="1" max="1" width="9.7265625" customWidth="1"/>
    <col min="3" max="3" width="12.90625" customWidth="1"/>
    <col min="18" max="18" width="11.81640625" bestFit="1" customWidth="1"/>
    <col min="19" max="19" width="11.26953125" bestFit="1" customWidth="1"/>
  </cols>
  <sheetData>
    <row r="1" spans="1:27" ht="15" thickBot="1" x14ac:dyDescent="0.4">
      <c r="H1" s="22" t="s">
        <v>34</v>
      </c>
      <c r="I1" s="23"/>
      <c r="J1" s="24"/>
      <c r="Q1">
        <v>4</v>
      </c>
      <c r="R1">
        <v>3</v>
      </c>
      <c r="S1">
        <v>2</v>
      </c>
      <c r="T1">
        <v>1</v>
      </c>
      <c r="U1">
        <v>0</v>
      </c>
    </row>
    <row r="2" spans="1:27" x14ac:dyDescent="0.35">
      <c r="A2" s="15" t="s">
        <v>11</v>
      </c>
      <c r="B2" s="7" t="s">
        <v>3</v>
      </c>
      <c r="C2" s="7" t="s">
        <v>12</v>
      </c>
      <c r="D2" s="7" t="s">
        <v>5</v>
      </c>
      <c r="E2" s="7" t="s">
        <v>44</v>
      </c>
      <c r="F2" s="10" t="s">
        <v>32</v>
      </c>
      <c r="G2" s="10" t="s">
        <v>33</v>
      </c>
      <c r="H2" s="10" t="s">
        <v>35</v>
      </c>
      <c r="I2" s="10" t="s">
        <v>36</v>
      </c>
      <c r="J2" s="10" t="s">
        <v>37</v>
      </c>
      <c r="K2" s="10" t="s">
        <v>13</v>
      </c>
      <c r="L2" s="10" t="s">
        <v>38</v>
      </c>
      <c r="M2" s="10" t="s">
        <v>28</v>
      </c>
      <c r="N2" s="10" t="s">
        <v>16</v>
      </c>
      <c r="Q2" s="4" t="s">
        <v>39</v>
      </c>
      <c r="R2" s="4" t="s">
        <v>40</v>
      </c>
      <c r="S2" s="4" t="s">
        <v>18</v>
      </c>
      <c r="T2" s="4" t="s">
        <v>17</v>
      </c>
      <c r="U2" s="4" t="s">
        <v>27</v>
      </c>
      <c r="Z2" s="4" t="s">
        <v>10</v>
      </c>
    </row>
    <row r="3" spans="1:27" x14ac:dyDescent="0.35">
      <c r="A3" s="3">
        <v>1</v>
      </c>
      <c r="B3" s="2">
        <v>2010</v>
      </c>
      <c r="C3" s="2">
        <v>69</v>
      </c>
      <c r="D3" s="2" t="s">
        <v>6</v>
      </c>
      <c r="E3" s="17">
        <f>IF(Tab_salesQ[[#This Row],[Quarter]]="Q1",1,IF(Tab_salesQ[[#This Row],[Quarter]]="Q2",2,IF(Tab_salesQ[[#This Row],[Quarter]]="Q3",3,4)))</f>
        <v>1</v>
      </c>
      <c r="F3" s="17">
        <f>1</f>
        <v>1</v>
      </c>
      <c r="G3" s="17">
        <f>Tab_salesQ[[#This Row],[t]]</f>
        <v>1</v>
      </c>
      <c r="H3" s="17">
        <f>IF(Tab_salesQ[[#This Row],[Quarter]]="Q1",1,0)</f>
        <v>1</v>
      </c>
      <c r="I3" s="17">
        <f>IF(Tab_salesQ[[#This Row],[Quarter]]="Q2",1,0)</f>
        <v>0</v>
      </c>
      <c r="J3" s="17">
        <f>IF(Tab_salesQ[[#This Row],[Quarter]]="Q3",1,0)</f>
        <v>0</v>
      </c>
      <c r="K3" s="18">
        <f>SUMPRODUCT(Tab_salesQ[[#This Row],[X0]:[X4]],_xlfn.SORTBY($Q$3:$U$3,$Q$1:$U$1,1))</f>
        <v>69.512499999999989</v>
      </c>
      <c r="L3" s="18">
        <f>Tab_salesQ[[#This Row],[Y]]-Tab_salesQ[[#This Row],[Y_hat]]</f>
        <v>-0.51249999999998863</v>
      </c>
      <c r="M3" s="17" t="e">
        <f>IF(Tab_salesQ[[#This Row],[t]]&gt;2,SUMPRODUCT(Tab_salesQ[[#This Row],[X0]:[X4]],_xlfn.SORTBY(LINEST($C2:C$3,$G2:J$3,TRUE,FALSE),$Q$1:$U$1,1)),NA())</f>
        <v>#N/A</v>
      </c>
      <c r="N3" s="17" t="e">
        <f>Tab_salesQ[[#This Row],[Y]]-Tab_salesQ[[#This Row],[Forecast]]</f>
        <v>#N/A</v>
      </c>
      <c r="P3" s="4" t="s">
        <v>19</v>
      </c>
      <c r="Q3" s="13" cm="1">
        <f t="array" ref="Q3:U7">LINEST(Tab_salesQ[Y],Tab_salesQ[[X1]:[X4]],TRUE,TRUE)</f>
        <v>-3.0437500000000002</v>
      </c>
      <c r="R3" s="13">
        <v>-20.337500000000002</v>
      </c>
      <c r="S3" s="13">
        <v>-13.631250000000001</v>
      </c>
      <c r="T3" s="12">
        <v>1.4562500000000007</v>
      </c>
      <c r="U3" s="13">
        <v>81.687499999999986</v>
      </c>
      <c r="Z3" s="4" t="s">
        <v>11</v>
      </c>
      <c r="AA3" s="4" t="s">
        <v>2</v>
      </c>
    </row>
    <row r="4" spans="1:27" x14ac:dyDescent="0.35">
      <c r="A4" s="3">
        <v>2</v>
      </c>
      <c r="B4" s="2">
        <v>2010</v>
      </c>
      <c r="C4" s="2">
        <v>61.999999999999993</v>
      </c>
      <c r="D4" s="2" t="s">
        <v>7</v>
      </c>
      <c r="E4" s="2">
        <f>IF(Tab_salesQ[[#This Row],[Quarter]]="Q1",1,IF(Tab_salesQ[[#This Row],[Quarter]]="Q2",2,IF(Tab_salesQ[[#This Row],[Quarter]]="Q3",3,4)))</f>
        <v>2</v>
      </c>
      <c r="F4" s="2">
        <f>1</f>
        <v>1</v>
      </c>
      <c r="G4" s="2">
        <f>Tab_salesQ[[#This Row],[t]]</f>
        <v>2</v>
      </c>
      <c r="H4" s="2">
        <f>IF(Tab_salesQ[[#This Row],[Quarter]]="Q1",1,0)</f>
        <v>0</v>
      </c>
      <c r="I4" s="2">
        <f>IF(Tab_salesQ[[#This Row],[Quarter]]="Q2",1,0)</f>
        <v>1</v>
      </c>
      <c r="J4" s="2">
        <f>IF(Tab_salesQ[[#This Row],[Quarter]]="Q3",1,0)</f>
        <v>0</v>
      </c>
      <c r="K4" s="19">
        <f>SUMPRODUCT(Tab_salesQ[[#This Row],[X0]:[X4]],_xlfn.SORTBY($Q$3:$U$3,$Q$1:$U$1,1))</f>
        <v>64.262499999999989</v>
      </c>
      <c r="L4" s="19">
        <f>Tab_salesQ[[#This Row],[Y]]-Tab_salesQ[[#This Row],[Y_hat]]</f>
        <v>-2.2624999999999957</v>
      </c>
      <c r="M4" s="2" t="e">
        <f>IF(Tab_salesQ[[#This Row],[t]]&gt;2,SUMPRODUCT(Tab_salesQ[[#This Row],[X0]:[X4]],_xlfn.SORTBY(LINEST($C3:C$3,$G3:J$3,TRUE,FALSE),$Q$1:$U$1,1)),NA())</f>
        <v>#N/A</v>
      </c>
      <c r="N4" s="2" t="e">
        <f>Tab_salesQ[[#This Row],[Y]]-Tab_salesQ[[#This Row],[Forecast]]</f>
        <v>#N/A</v>
      </c>
      <c r="P4" s="4" t="s">
        <v>41</v>
      </c>
      <c r="Q4" s="13">
        <v>1.5368242694684631</v>
      </c>
      <c r="R4" s="13">
        <v>1.5510764224182576</v>
      </c>
      <c r="S4" s="13">
        <v>1.5745433591275695</v>
      </c>
      <c r="T4" s="12">
        <v>0.12111871993288996</v>
      </c>
      <c r="U4" s="13">
        <v>1.6249781467062041</v>
      </c>
      <c r="Z4" s="4" t="s">
        <v>12</v>
      </c>
      <c r="AA4" s="4" t="s">
        <v>4</v>
      </c>
    </row>
    <row r="5" spans="1:27" x14ac:dyDescent="0.35">
      <c r="A5" s="3">
        <v>3</v>
      </c>
      <c r="B5" s="2">
        <v>2010</v>
      </c>
      <c r="C5" s="2">
        <v>81</v>
      </c>
      <c r="D5" s="2" t="s">
        <v>8</v>
      </c>
      <c r="E5" s="2">
        <f>IF(Tab_salesQ[[#This Row],[Quarter]]="Q1",1,IF(Tab_salesQ[[#This Row],[Quarter]]="Q2",2,IF(Tab_salesQ[[#This Row],[Quarter]]="Q3",3,4)))</f>
        <v>3</v>
      </c>
      <c r="F5" s="2">
        <f>1</f>
        <v>1</v>
      </c>
      <c r="G5" s="2">
        <f>Tab_salesQ[[#This Row],[t]]</f>
        <v>3</v>
      </c>
      <c r="H5" s="2">
        <f>IF(Tab_salesQ[[#This Row],[Quarter]]="Q1",1,0)</f>
        <v>0</v>
      </c>
      <c r="I5" s="2">
        <f>IF(Tab_salesQ[[#This Row],[Quarter]]="Q2",1,0)</f>
        <v>0</v>
      </c>
      <c r="J5" s="2">
        <f>IF(Tab_salesQ[[#This Row],[Quarter]]="Q3",1,0)</f>
        <v>1</v>
      </c>
      <c r="K5" s="19">
        <f>SUMPRODUCT(Tab_salesQ[[#This Row],[X0]:[X4]],_xlfn.SORTBY($Q$3:$U$3,$Q$1:$U$1,1))</f>
        <v>83.012499999999989</v>
      </c>
      <c r="L5" s="19">
        <f>Tab_salesQ[[#This Row],[Y]]-Tab_salesQ[[#This Row],[Y_hat]]</f>
        <v>-2.0124999999999886</v>
      </c>
      <c r="M5" s="19">
        <f>IF(Tab_salesQ[[#This Row],[t]]&gt;2,SUMPRODUCT(Tab_salesQ[[#This Row],[X0]:[X4]],_xlfn.SORTBY(LINEST($C$3:C4,$G$3:J4,TRUE,FALSE),$Q$1:$U$1,1)),NA())</f>
        <v>62</v>
      </c>
      <c r="N5" s="2">
        <f>Tab_salesQ[[#This Row],[Y]]-Tab_salesQ[[#This Row],[Forecast]]</f>
        <v>19</v>
      </c>
      <c r="P5" s="4" t="s">
        <v>21</v>
      </c>
      <c r="Q5" s="11">
        <v>0.97627430146742089</v>
      </c>
      <c r="R5" s="11">
        <v>2.1666375289416058</v>
      </c>
      <c r="S5" t="e">
        <v>#N/A</v>
      </c>
      <c r="T5" t="e">
        <v>#N/A</v>
      </c>
      <c r="U5" t="e">
        <v>#N/A</v>
      </c>
      <c r="V5" s="4" t="s">
        <v>24</v>
      </c>
    </row>
    <row r="6" spans="1:27" x14ac:dyDescent="0.35">
      <c r="A6" s="3">
        <v>4</v>
      </c>
      <c r="B6" s="2">
        <v>2010</v>
      </c>
      <c r="C6" s="2">
        <v>86</v>
      </c>
      <c r="D6" s="2" t="s">
        <v>9</v>
      </c>
      <c r="E6" s="2">
        <f>IF(Tab_salesQ[[#This Row],[Quarter]]="Q1",1,IF(Tab_salesQ[[#This Row],[Quarter]]="Q2",2,IF(Tab_salesQ[[#This Row],[Quarter]]="Q3",3,4)))</f>
        <v>4</v>
      </c>
      <c r="F6" s="2">
        <f>1</f>
        <v>1</v>
      </c>
      <c r="G6" s="2">
        <f>Tab_salesQ[[#This Row],[t]]</f>
        <v>4</v>
      </c>
      <c r="H6" s="2">
        <f>IF(Tab_salesQ[[#This Row],[Quarter]]="Q1",1,0)</f>
        <v>0</v>
      </c>
      <c r="I6" s="2">
        <f>IF(Tab_salesQ[[#This Row],[Quarter]]="Q2",1,0)</f>
        <v>0</v>
      </c>
      <c r="J6" s="2">
        <f>IF(Tab_salesQ[[#This Row],[Quarter]]="Q3",1,0)</f>
        <v>0</v>
      </c>
      <c r="K6" s="19">
        <f>SUMPRODUCT(Tab_salesQ[[#This Row],[X0]:[X4]],_xlfn.SORTBY($Q$3:$U$3,$Q$1:$U$1,1))</f>
        <v>87.512499999999989</v>
      </c>
      <c r="L6" s="19">
        <f>Tab_salesQ[[#This Row],[Y]]-Tab_salesQ[[#This Row],[Y_hat]]</f>
        <v>-1.5124999999999886</v>
      </c>
      <c r="M6" s="19">
        <f>IF(Tab_salesQ[[#This Row],[t]]&gt;2,SUMPRODUCT(Tab_salesQ[[#This Row],[X0]:[X4]],_xlfn.SORTBY(LINEST($C$3:C5,$G$3:J5,TRUE,FALSE),$Q$1:$U$1,1)),NA())</f>
        <v>87</v>
      </c>
      <c r="N6" s="2">
        <f>Tab_salesQ[[#This Row],[Y]]-Tab_salesQ[[#This Row],[Forecast]]</f>
        <v>-1</v>
      </c>
      <c r="P6" s="4" t="s">
        <v>42</v>
      </c>
      <c r="Q6" s="13">
        <v>113.15807310578538</v>
      </c>
      <c r="R6">
        <v>11</v>
      </c>
      <c r="S6" t="e">
        <v>#N/A</v>
      </c>
      <c r="T6" t="e">
        <v>#N/A</v>
      </c>
      <c r="U6" t="e">
        <v>#N/A</v>
      </c>
      <c r="V6" s="4" t="s">
        <v>25</v>
      </c>
    </row>
    <row r="7" spans="1:27" x14ac:dyDescent="0.35">
      <c r="A7" s="3">
        <v>5</v>
      </c>
      <c r="B7" s="2">
        <v>2012</v>
      </c>
      <c r="C7" s="2">
        <v>79</v>
      </c>
      <c r="D7" s="2" t="s">
        <v>6</v>
      </c>
      <c r="E7" s="2">
        <f>IF(Tab_salesQ[[#This Row],[Quarter]]="Q1",1,IF(Tab_salesQ[[#This Row],[Quarter]]="Q2",2,IF(Tab_salesQ[[#This Row],[Quarter]]="Q3",3,4)))</f>
        <v>1</v>
      </c>
      <c r="F7" s="2">
        <f>1</f>
        <v>1</v>
      </c>
      <c r="G7" s="2">
        <f>Tab_salesQ[[#This Row],[t]]</f>
        <v>5</v>
      </c>
      <c r="H7" s="2">
        <f>IF(Tab_salesQ[[#This Row],[Quarter]]="Q1",1,0)</f>
        <v>1</v>
      </c>
      <c r="I7" s="2">
        <f>IF(Tab_salesQ[[#This Row],[Quarter]]="Q2",1,0)</f>
        <v>0</v>
      </c>
      <c r="J7" s="2">
        <f>IF(Tab_salesQ[[#This Row],[Quarter]]="Q3",1,0)</f>
        <v>0</v>
      </c>
      <c r="K7" s="19">
        <f>SUMPRODUCT(Tab_salesQ[[#This Row],[X0]:[X4]],_xlfn.SORTBY($Q$3:$U$3,$Q$1:$U$1,1))</f>
        <v>75.337499999999977</v>
      </c>
      <c r="L7" s="19">
        <f>Tab_salesQ[[#This Row],[Y]]-Tab_salesQ[[#This Row],[Y_hat]]</f>
        <v>3.6625000000000227</v>
      </c>
      <c r="M7" s="19">
        <f>IF(Tab_salesQ[[#This Row],[t]]&gt;2,SUMPRODUCT(Tab_salesQ[[#This Row],[X0]:[X4]],_xlfn.SORTBY(LINEST($C$3:C6,$G$3:J6,TRUE,FALSE),$Q$1:$U$1,1)),NA())</f>
        <v>91.666666666666657</v>
      </c>
      <c r="N7" s="2">
        <f>Tab_salesQ[[#This Row],[Y]]-Tab_salesQ[[#This Row],[Forecast]]</f>
        <v>-12.666666666666657</v>
      </c>
      <c r="P7" s="4" t="s">
        <v>23</v>
      </c>
      <c r="Q7" s="13">
        <v>2124.8000000000002</v>
      </c>
      <c r="R7" s="13">
        <v>51.637500000000067</v>
      </c>
      <c r="S7" t="e">
        <v>#N/A</v>
      </c>
      <c r="T7" t="e">
        <v>#N/A</v>
      </c>
      <c r="U7" t="e">
        <v>#N/A</v>
      </c>
      <c r="V7" s="4" t="s">
        <v>26</v>
      </c>
    </row>
    <row r="8" spans="1:27" x14ac:dyDescent="0.35">
      <c r="A8" s="3">
        <v>6</v>
      </c>
      <c r="B8" s="2">
        <v>2012</v>
      </c>
      <c r="C8" s="2">
        <v>73</v>
      </c>
      <c r="D8" s="2" t="s">
        <v>7</v>
      </c>
      <c r="E8" s="2">
        <f>IF(Tab_salesQ[[#This Row],[Quarter]]="Q1",1,IF(Tab_salesQ[[#This Row],[Quarter]]="Q2",2,IF(Tab_salesQ[[#This Row],[Quarter]]="Q3",3,4)))</f>
        <v>2</v>
      </c>
      <c r="F8" s="2">
        <f>1</f>
        <v>1</v>
      </c>
      <c r="G8" s="2">
        <f>Tab_salesQ[[#This Row],[t]]</f>
        <v>6</v>
      </c>
      <c r="H8" s="2">
        <f>IF(Tab_salesQ[[#This Row],[Quarter]]="Q1",1,0)</f>
        <v>0</v>
      </c>
      <c r="I8" s="2">
        <f>IF(Tab_salesQ[[#This Row],[Quarter]]="Q2",1,0)</f>
        <v>1</v>
      </c>
      <c r="J8" s="2">
        <f>IF(Tab_salesQ[[#This Row],[Quarter]]="Q3",1,0)</f>
        <v>0</v>
      </c>
      <c r="K8" s="19">
        <f>SUMPRODUCT(Tab_salesQ[[#This Row],[X0]:[X4]],_xlfn.SORTBY($Q$3:$U$3,$Q$1:$U$1,1))</f>
        <v>70.087499999999977</v>
      </c>
      <c r="L8" s="19">
        <f>Tab_salesQ[[#This Row],[Y]]-Tab_salesQ[[#This Row],[Y_hat]]</f>
        <v>2.9125000000000227</v>
      </c>
      <c r="M8" s="19">
        <f>IF(Tab_salesQ[[#This Row],[t]]&gt;2,SUMPRODUCT(Tab_salesQ[[#This Row],[X0]:[X4]],_xlfn.SORTBY(LINEST($C$3:C7,$G$3:J7,TRUE,FALSE),$Q$1:$U$1,1)),NA())</f>
        <v>72</v>
      </c>
      <c r="N8" s="2">
        <f>Tab_salesQ[[#This Row],[Y]]-Tab_salesQ[[#This Row],[Forecast]]</f>
        <v>1</v>
      </c>
    </row>
    <row r="9" spans="1:27" x14ac:dyDescent="0.35">
      <c r="A9" s="3">
        <v>7</v>
      </c>
      <c r="B9" s="2">
        <v>2012</v>
      </c>
      <c r="C9" s="2">
        <v>89</v>
      </c>
      <c r="D9" s="2" t="s">
        <v>8</v>
      </c>
      <c r="E9" s="2">
        <f>IF(Tab_salesQ[[#This Row],[Quarter]]="Q1",1,IF(Tab_salesQ[[#This Row],[Quarter]]="Q2",2,IF(Tab_salesQ[[#This Row],[Quarter]]="Q3",3,4)))</f>
        <v>3</v>
      </c>
      <c r="F9" s="2">
        <f>1</f>
        <v>1</v>
      </c>
      <c r="G9" s="2">
        <f>Tab_salesQ[[#This Row],[t]]</f>
        <v>7</v>
      </c>
      <c r="H9" s="2">
        <f>IF(Tab_salesQ[[#This Row],[Quarter]]="Q1",1,0)</f>
        <v>0</v>
      </c>
      <c r="I9" s="2">
        <f>IF(Tab_salesQ[[#This Row],[Quarter]]="Q2",1,0)</f>
        <v>0</v>
      </c>
      <c r="J9" s="2">
        <f>IF(Tab_salesQ[[#This Row],[Quarter]]="Q3",1,0)</f>
        <v>1</v>
      </c>
      <c r="K9" s="19">
        <f>SUMPRODUCT(Tab_salesQ[[#This Row],[X0]:[X4]],_xlfn.SORTBY($Q$3:$U$3,$Q$1:$U$1,1))</f>
        <v>88.837499999999991</v>
      </c>
      <c r="L9" s="19">
        <f>Tab_salesQ[[#This Row],[Y]]-Tab_salesQ[[#This Row],[Y_hat]]</f>
        <v>0.16250000000000853</v>
      </c>
      <c r="M9" s="19">
        <f>IF(Tab_salesQ[[#This Row],[t]]&gt;2,SUMPRODUCT(Tab_salesQ[[#This Row],[X0]:[X4]],_xlfn.SORTBY(LINEST($C$3:C8,$G$3:J8,TRUE,FALSE),$Q$1:$U$1,1)),NA())</f>
        <v>91.500000000000014</v>
      </c>
      <c r="N9" s="2">
        <f>Tab_salesQ[[#This Row],[Y]]-Tab_salesQ[[#This Row],[Forecast]]</f>
        <v>-2.5000000000000142</v>
      </c>
      <c r="P9" s="14" t="s">
        <v>43</v>
      </c>
      <c r="Q9">
        <v>4</v>
      </c>
      <c r="S9" s="14" t="s">
        <v>45</v>
      </c>
      <c r="T9" cm="1">
        <f t="array" ref="T9">_xlfn._xlws.FILTER(Tab_salesQ[Q_aux],Tab_salesQ[t]=COUNT(Tab_salesQ[t]))</f>
        <v>4</v>
      </c>
    </row>
    <row r="10" spans="1:27" x14ac:dyDescent="0.35">
      <c r="A10" s="3">
        <v>8</v>
      </c>
      <c r="B10" s="2">
        <v>2012</v>
      </c>
      <c r="C10" s="2">
        <v>95</v>
      </c>
      <c r="D10" s="2" t="s">
        <v>9</v>
      </c>
      <c r="E10" s="2">
        <f>IF(Tab_salesQ[[#This Row],[Quarter]]="Q1",1,IF(Tab_salesQ[[#This Row],[Quarter]]="Q2",2,IF(Tab_salesQ[[#This Row],[Quarter]]="Q3",3,4)))</f>
        <v>4</v>
      </c>
      <c r="F10" s="2">
        <f>1</f>
        <v>1</v>
      </c>
      <c r="G10" s="2">
        <f>Tab_salesQ[[#This Row],[t]]</f>
        <v>8</v>
      </c>
      <c r="H10" s="2">
        <f>IF(Tab_salesQ[[#This Row],[Quarter]]="Q1",1,0)</f>
        <v>0</v>
      </c>
      <c r="I10" s="2">
        <f>IF(Tab_salesQ[[#This Row],[Quarter]]="Q2",1,0)</f>
        <v>0</v>
      </c>
      <c r="J10" s="2">
        <f>IF(Tab_salesQ[[#This Row],[Quarter]]="Q3",1,0)</f>
        <v>0</v>
      </c>
      <c r="K10" s="19">
        <f>SUMPRODUCT(Tab_salesQ[[#This Row],[X0]:[X4]],_xlfn.SORTBY($Q$3:$U$3,$Q$1:$U$1,1))</f>
        <v>93.337499999999991</v>
      </c>
      <c r="L10" s="19">
        <f>Tab_salesQ[[#This Row],[Y]]-Tab_salesQ[[#This Row],[Y_hat]]</f>
        <v>1.6625000000000085</v>
      </c>
      <c r="M10" s="19">
        <f>IF(Tab_salesQ[[#This Row],[t]]&gt;2,SUMPRODUCT(Tab_salesQ[[#This Row],[X0]:[X4]],_xlfn.SORTBY(LINEST($C$3:C9,$G$3:J9,TRUE,FALSE),$Q$1:$U$1,1)),NA())</f>
        <v>95.666666666666686</v>
      </c>
      <c r="N10" s="2">
        <f>Tab_salesQ[[#This Row],[Y]]-Tab_salesQ[[#This Row],[Forecast]]</f>
        <v>-0.66666666666668561</v>
      </c>
      <c r="P10" s="14" t="s">
        <v>32</v>
      </c>
      <c r="Q10" s="14" t="s">
        <v>33</v>
      </c>
      <c r="R10" s="14" t="s">
        <v>35</v>
      </c>
      <c r="S10" s="14" t="s">
        <v>36</v>
      </c>
      <c r="T10" s="14" t="s">
        <v>37</v>
      </c>
      <c r="U10" s="14" t="s">
        <v>5</v>
      </c>
      <c r="V10" s="14" t="s">
        <v>28</v>
      </c>
    </row>
    <row r="11" spans="1:27" x14ac:dyDescent="0.35">
      <c r="A11" s="3">
        <v>9</v>
      </c>
      <c r="B11" s="2">
        <v>2013</v>
      </c>
      <c r="C11" s="2">
        <v>81</v>
      </c>
      <c r="D11" s="2" t="s">
        <v>6</v>
      </c>
      <c r="E11" s="2">
        <f>IF(Tab_salesQ[[#This Row],[Quarter]]="Q1",1,IF(Tab_salesQ[[#This Row],[Quarter]]="Q2",2,IF(Tab_salesQ[[#This Row],[Quarter]]="Q3",3,4)))</f>
        <v>1</v>
      </c>
      <c r="F11" s="2">
        <f>1</f>
        <v>1</v>
      </c>
      <c r="G11" s="2">
        <f>Tab_salesQ[[#This Row],[t]]</f>
        <v>9</v>
      </c>
      <c r="H11" s="2">
        <f>IF(Tab_salesQ[[#This Row],[Quarter]]="Q1",1,0)</f>
        <v>1</v>
      </c>
      <c r="I11" s="2">
        <f>IF(Tab_salesQ[[#This Row],[Quarter]]="Q2",1,0)</f>
        <v>0</v>
      </c>
      <c r="J11" s="2">
        <f>IF(Tab_salesQ[[#This Row],[Quarter]]="Q3",1,0)</f>
        <v>0</v>
      </c>
      <c r="K11" s="19">
        <f>SUMPRODUCT(Tab_salesQ[[#This Row],[X0]:[X4]],_xlfn.SORTBY($Q$3:$U$3,$Q$1:$U$1,1))</f>
        <v>81.162499999999994</v>
      </c>
      <c r="L11" s="19">
        <f>Tab_salesQ[[#This Row],[Y]]-Tab_salesQ[[#This Row],[Y_hat]]</f>
        <v>-0.16249999999999432</v>
      </c>
      <c r="M11" s="19">
        <f>IF(Tab_salesQ[[#This Row],[t]]&gt;2,SUMPRODUCT(Tab_salesQ[[#This Row],[X0]:[X4]],_xlfn.SORTBY(LINEST($C$3:C10,$G$3:J10,TRUE,FALSE),$Q$1:$U$1,1)),NA())</f>
        <v>88.250000000000028</v>
      </c>
      <c r="N11" s="2">
        <f>Tab_salesQ[[#This Row],[Y]]-Tab_salesQ[[#This Row],[Forecast]]</f>
        <v>-7.2500000000000284</v>
      </c>
      <c r="P11" cm="1">
        <f t="array" ref="P11:P14">_xlfn.ANCHORARRAY(Q11)*0+1</f>
        <v>1</v>
      </c>
      <c r="Q11" cm="1">
        <f t="array" ref="Q11:Q14">_xlfn.SEQUENCE($Q$9,1,COUNT(Tab_salesQ[t])+1)</f>
        <v>17</v>
      </c>
      <c r="R11" cm="1">
        <f t="array" ref="R11:R14">IF(_xlfn.ANCHORARRAY(U11)=1,1,0)</f>
        <v>1</v>
      </c>
      <c r="S11" cm="1">
        <f t="array" ref="S11:S14">IF(_xlfn.ANCHORARRAY(U11)=2,1,0)</f>
        <v>0</v>
      </c>
      <c r="T11" cm="1">
        <f t="array" ref="T11:T14">IF(_xlfn.ANCHORARRAY(U11)=3,1,0)</f>
        <v>0</v>
      </c>
      <c r="U11" cm="1">
        <f t="array" ref="U11:U14">_xlfn.SEQUENCE(COUNT(_xlfn.ANCHORARRAY(Q11)),1,$T$9,1)-4+1</f>
        <v>1</v>
      </c>
      <c r="V11">
        <f>SUMPRODUCT(P11:T11,_xlfn.SORTBY($Q$3:$U$3,$Q$1:$U$1))</f>
        <v>92.8125</v>
      </c>
    </row>
    <row r="12" spans="1:27" x14ac:dyDescent="0.35">
      <c r="A12" s="3">
        <v>10</v>
      </c>
      <c r="B12" s="2">
        <v>2013</v>
      </c>
      <c r="C12" s="2">
        <v>77</v>
      </c>
      <c r="D12" s="2" t="s">
        <v>7</v>
      </c>
      <c r="E12" s="2">
        <f>IF(Tab_salesQ[[#This Row],[Quarter]]="Q1",1,IF(Tab_salesQ[[#This Row],[Quarter]]="Q2",2,IF(Tab_salesQ[[#This Row],[Quarter]]="Q3",3,4)))</f>
        <v>2</v>
      </c>
      <c r="F12" s="2">
        <f>1</f>
        <v>1</v>
      </c>
      <c r="G12" s="2">
        <f>Tab_salesQ[[#This Row],[t]]</f>
        <v>10</v>
      </c>
      <c r="H12" s="2">
        <f>IF(Tab_salesQ[[#This Row],[Quarter]]="Q1",1,0)</f>
        <v>0</v>
      </c>
      <c r="I12" s="2">
        <f>IF(Tab_salesQ[[#This Row],[Quarter]]="Q2",1,0)</f>
        <v>1</v>
      </c>
      <c r="J12" s="2">
        <f>IF(Tab_salesQ[[#This Row],[Quarter]]="Q3",1,0)</f>
        <v>0</v>
      </c>
      <c r="K12" s="19">
        <f>SUMPRODUCT(Tab_salesQ[[#This Row],[X0]:[X4]],_xlfn.SORTBY($Q$3:$U$3,$Q$1:$U$1,1))</f>
        <v>75.912499999999994</v>
      </c>
      <c r="L12" s="19">
        <f>Tab_salesQ[[#This Row],[Y]]-Tab_salesQ[[#This Row],[Y_hat]]</f>
        <v>1.0875000000000057</v>
      </c>
      <c r="M12" s="19">
        <f>IF(Tab_salesQ[[#This Row],[t]]&gt;2,SUMPRODUCT(Tab_salesQ[[#This Row],[X0]:[X4]],_xlfn.SORTBY(LINEST($C$3:C11,$G$3:J11,TRUE,FALSE),$Q$1:$U$1,1)),NA())</f>
        <v>78.642857142857139</v>
      </c>
      <c r="N12" s="2">
        <f>Tab_salesQ[[#This Row],[Y]]-Tab_salesQ[[#This Row],[Forecast]]</f>
        <v>-1.6428571428571388</v>
      </c>
      <c r="P12">
        <v>1</v>
      </c>
      <c r="Q12">
        <v>18</v>
      </c>
      <c r="R12">
        <v>0</v>
      </c>
      <c r="S12">
        <v>1</v>
      </c>
      <c r="T12">
        <v>0</v>
      </c>
      <c r="U12">
        <v>2</v>
      </c>
      <c r="V12">
        <f t="shared" ref="V12:V14" si="0">SUMPRODUCT(P12:T12,_xlfn.SORTBY($Q$3:$U$3,$Q$1:$U$1))</f>
        <v>87.5625</v>
      </c>
    </row>
    <row r="13" spans="1:27" x14ac:dyDescent="0.35">
      <c r="A13" s="3">
        <v>11</v>
      </c>
      <c r="B13" s="2">
        <v>2013</v>
      </c>
      <c r="C13" s="2">
        <v>96</v>
      </c>
      <c r="D13" s="2" t="s">
        <v>8</v>
      </c>
      <c r="E13" s="2">
        <f>IF(Tab_salesQ[[#This Row],[Quarter]]="Q1",1,IF(Tab_salesQ[[#This Row],[Quarter]]="Q2",2,IF(Tab_salesQ[[#This Row],[Quarter]]="Q3",3,4)))</f>
        <v>3</v>
      </c>
      <c r="F13" s="2">
        <f>1</f>
        <v>1</v>
      </c>
      <c r="G13" s="2">
        <f>Tab_salesQ[[#This Row],[t]]</f>
        <v>11</v>
      </c>
      <c r="H13" s="2">
        <f>IF(Tab_salesQ[[#This Row],[Quarter]]="Q1",1,0)</f>
        <v>0</v>
      </c>
      <c r="I13" s="2">
        <f>IF(Tab_salesQ[[#This Row],[Quarter]]="Q2",1,0)</f>
        <v>0</v>
      </c>
      <c r="J13" s="2">
        <f>IF(Tab_salesQ[[#This Row],[Quarter]]="Q3",1,0)</f>
        <v>1</v>
      </c>
      <c r="K13" s="19">
        <f>SUMPRODUCT(Tab_salesQ[[#This Row],[X0]:[X4]],_xlfn.SORTBY($Q$3:$U$3,$Q$1:$U$1,1))</f>
        <v>94.662499999999994</v>
      </c>
      <c r="L13" s="19">
        <f>Tab_salesQ[[#This Row],[Y]]-Tab_salesQ[[#This Row],[Y_hat]]</f>
        <v>1.3375000000000057</v>
      </c>
      <c r="M13" s="19">
        <f>IF(Tab_salesQ[[#This Row],[t]]&gt;2,SUMPRODUCT(Tab_salesQ[[#This Row],[X0]:[X4]],_xlfn.SORTBY(LINEST($C$3:C12,$G$3:J12,TRUE,FALSE),$Q$1:$U$1,1)),NA())</f>
        <v>95.650000000000034</v>
      </c>
      <c r="N13" s="2">
        <f>Tab_salesQ[[#This Row],[Y]]-Tab_salesQ[[#This Row],[Forecast]]</f>
        <v>0.34999999999996589</v>
      </c>
      <c r="P13">
        <v>1</v>
      </c>
      <c r="Q13">
        <v>19</v>
      </c>
      <c r="R13">
        <v>0</v>
      </c>
      <c r="S13">
        <v>0</v>
      </c>
      <c r="T13">
        <v>1</v>
      </c>
      <c r="U13">
        <v>3</v>
      </c>
      <c r="V13">
        <f t="shared" si="0"/>
        <v>106.3125</v>
      </c>
    </row>
    <row r="14" spans="1:27" x14ac:dyDescent="0.35">
      <c r="A14" s="3">
        <v>12</v>
      </c>
      <c r="B14" s="2">
        <v>2013</v>
      </c>
      <c r="C14" s="2">
        <v>99</v>
      </c>
      <c r="D14" s="2" t="s">
        <v>9</v>
      </c>
      <c r="E14" s="2">
        <f>IF(Tab_salesQ[[#This Row],[Quarter]]="Q1",1,IF(Tab_salesQ[[#This Row],[Quarter]]="Q2",2,IF(Tab_salesQ[[#This Row],[Quarter]]="Q3",3,4)))</f>
        <v>4</v>
      </c>
      <c r="F14" s="2">
        <f>1</f>
        <v>1</v>
      </c>
      <c r="G14" s="2">
        <f>Tab_salesQ[[#This Row],[t]]</f>
        <v>12</v>
      </c>
      <c r="H14" s="2">
        <f>IF(Tab_salesQ[[#This Row],[Quarter]]="Q1",1,0)</f>
        <v>0</v>
      </c>
      <c r="I14" s="2">
        <f>IF(Tab_salesQ[[#This Row],[Quarter]]="Q2",1,0)</f>
        <v>0</v>
      </c>
      <c r="J14" s="2">
        <f>IF(Tab_salesQ[[#This Row],[Quarter]]="Q3",1,0)</f>
        <v>0</v>
      </c>
      <c r="K14" s="19">
        <f>SUMPRODUCT(Tab_salesQ[[#This Row],[X0]:[X4]],_xlfn.SORTBY($Q$3:$U$3,$Q$1:$U$1,1))</f>
        <v>99.162499999999994</v>
      </c>
      <c r="L14" s="19">
        <f>Tab_salesQ[[#This Row],[Y]]-Tab_salesQ[[#This Row],[Y_hat]]</f>
        <v>-0.16249999999999432</v>
      </c>
      <c r="M14" s="19">
        <f>IF(Tab_salesQ[[#This Row],[t]]&gt;2,SUMPRODUCT(Tab_salesQ[[#This Row],[X0]:[X4]],_xlfn.SORTBY(LINEST($C$3:C13,$G$3:J13,TRUE,FALSE),$Q$1:$U$1,1)),NA())</f>
        <v>101.23076923076923</v>
      </c>
      <c r="N14" s="2">
        <f>Tab_salesQ[[#This Row],[Y]]-Tab_salesQ[[#This Row],[Forecast]]</f>
        <v>-2.2307692307692264</v>
      </c>
      <c r="P14">
        <v>1</v>
      </c>
      <c r="Q14">
        <v>20</v>
      </c>
      <c r="R14">
        <v>0</v>
      </c>
      <c r="S14">
        <v>0</v>
      </c>
      <c r="T14">
        <v>0</v>
      </c>
      <c r="U14">
        <v>4</v>
      </c>
      <c r="V14">
        <f t="shared" si="0"/>
        <v>110.8125</v>
      </c>
    </row>
    <row r="15" spans="1:27" x14ac:dyDescent="0.35">
      <c r="A15" s="3">
        <v>13</v>
      </c>
      <c r="B15" s="2">
        <v>2014</v>
      </c>
      <c r="C15" s="2">
        <v>84</v>
      </c>
      <c r="D15" s="2" t="s">
        <v>6</v>
      </c>
      <c r="E15" s="2">
        <f>IF(Tab_salesQ[[#This Row],[Quarter]]="Q1",1,IF(Tab_salesQ[[#This Row],[Quarter]]="Q2",2,IF(Tab_salesQ[[#This Row],[Quarter]]="Q3",3,4)))</f>
        <v>1</v>
      </c>
      <c r="F15" s="2">
        <f>1</f>
        <v>1</v>
      </c>
      <c r="G15" s="2">
        <f>Tab_salesQ[[#This Row],[t]]</f>
        <v>13</v>
      </c>
      <c r="H15" s="2">
        <f>IF(Tab_salesQ[[#This Row],[Quarter]]="Q1",1,0)</f>
        <v>1</v>
      </c>
      <c r="I15" s="2">
        <f>IF(Tab_salesQ[[#This Row],[Quarter]]="Q2",1,0)</f>
        <v>0</v>
      </c>
      <c r="J15" s="2">
        <f>IF(Tab_salesQ[[#This Row],[Quarter]]="Q3",1,0)</f>
        <v>0</v>
      </c>
      <c r="K15" s="19">
        <f>SUMPRODUCT(Tab_salesQ[[#This Row],[X0]:[X4]],_xlfn.SORTBY($Q$3:$U$3,$Q$1:$U$1,1))</f>
        <v>86.987499999999983</v>
      </c>
      <c r="L15" s="19">
        <f>Tab_salesQ[[#This Row],[Y]]-Tab_salesQ[[#This Row],[Y_hat]]</f>
        <v>-2.9874999999999829</v>
      </c>
      <c r="M15" s="19">
        <f>IF(Tab_salesQ[[#This Row],[t]]&gt;2,SUMPRODUCT(Tab_salesQ[[#This Row],[X0]:[X4]],_xlfn.SORTBY(LINEST($C$3:C14,$G$3:J14,TRUE,FALSE),$Q$1:$U$1,1)),NA())</f>
        <v>90.083333333333343</v>
      </c>
      <c r="N15" s="2">
        <f>Tab_salesQ[[#This Row],[Y]]-Tab_salesQ[[#This Row],[Forecast]]</f>
        <v>-6.0833333333333428</v>
      </c>
    </row>
    <row r="16" spans="1:27" x14ac:dyDescent="0.35">
      <c r="A16" s="3">
        <v>14</v>
      </c>
      <c r="B16" s="2">
        <v>2014</v>
      </c>
      <c r="C16" s="2">
        <v>80</v>
      </c>
      <c r="D16" s="2" t="s">
        <v>7</v>
      </c>
      <c r="E16" s="2">
        <f>IF(Tab_salesQ[[#This Row],[Quarter]]="Q1",1,IF(Tab_salesQ[[#This Row],[Quarter]]="Q2",2,IF(Tab_salesQ[[#This Row],[Quarter]]="Q3",3,4)))</f>
        <v>2</v>
      </c>
      <c r="F16" s="2">
        <f>1</f>
        <v>1</v>
      </c>
      <c r="G16" s="2">
        <f>Tab_salesQ[[#This Row],[t]]</f>
        <v>14</v>
      </c>
      <c r="H16" s="2">
        <f>IF(Tab_salesQ[[#This Row],[Quarter]]="Q1",1,0)</f>
        <v>0</v>
      </c>
      <c r="I16" s="2">
        <f>IF(Tab_salesQ[[#This Row],[Quarter]]="Q2",1,0)</f>
        <v>1</v>
      </c>
      <c r="J16" s="2">
        <f>IF(Tab_salesQ[[#This Row],[Quarter]]="Q3",1,0)</f>
        <v>0</v>
      </c>
      <c r="K16" s="19">
        <f>SUMPRODUCT(Tab_salesQ[[#This Row],[X0]:[X4]],_xlfn.SORTBY($Q$3:$U$3,$Q$1:$U$1,1))</f>
        <v>81.737499999999983</v>
      </c>
      <c r="L16" s="19">
        <f>Tab_salesQ[[#This Row],[Y]]-Tab_salesQ[[#This Row],[Y_hat]]</f>
        <v>-1.7374999999999829</v>
      </c>
      <c r="M16" s="19">
        <f>IF(Tab_salesQ[[#This Row],[t]]&gt;2,SUMPRODUCT(Tab_salesQ[[#This Row],[X0]:[X4]],_xlfn.SORTBY(LINEST($C$3:C15,$G$3:J15,TRUE,FALSE),$Q$1:$U$1,1)),NA())</f>
        <v>82.757575757575779</v>
      </c>
      <c r="N16" s="2">
        <f>Tab_salesQ[[#This Row],[Y]]-Tab_salesQ[[#This Row],[Forecast]]</f>
        <v>-2.7575757575757791</v>
      </c>
    </row>
    <row r="17" spans="1:17" x14ac:dyDescent="0.35">
      <c r="A17" s="3">
        <v>15</v>
      </c>
      <c r="B17" s="2">
        <v>2014</v>
      </c>
      <c r="C17" s="2">
        <v>101</v>
      </c>
      <c r="D17" s="2" t="s">
        <v>8</v>
      </c>
      <c r="E17" s="2">
        <f>IF(Tab_salesQ[[#This Row],[Quarter]]="Q1",1,IF(Tab_salesQ[[#This Row],[Quarter]]="Q2",2,IF(Tab_salesQ[[#This Row],[Quarter]]="Q3",3,4)))</f>
        <v>3</v>
      </c>
      <c r="F17" s="2">
        <f>1</f>
        <v>1</v>
      </c>
      <c r="G17" s="2">
        <f>Tab_salesQ[[#This Row],[t]]</f>
        <v>15</v>
      </c>
      <c r="H17" s="2">
        <f>IF(Tab_salesQ[[#This Row],[Quarter]]="Q1",1,0)</f>
        <v>0</v>
      </c>
      <c r="I17" s="2">
        <f>IF(Tab_salesQ[[#This Row],[Quarter]]="Q2",1,0)</f>
        <v>0</v>
      </c>
      <c r="J17" s="2">
        <f>IF(Tab_salesQ[[#This Row],[Quarter]]="Q3",1,0)</f>
        <v>1</v>
      </c>
      <c r="K17" s="19">
        <f>SUMPRODUCT(Tab_salesQ[[#This Row],[X0]:[X4]],_xlfn.SORTBY($Q$3:$U$3,$Q$1:$U$1,1))</f>
        <v>100.4875</v>
      </c>
      <c r="L17" s="19">
        <f>Tab_salesQ[[#This Row],[Y]]-Tab_salesQ[[#This Row],[Y_hat]]</f>
        <v>0.51250000000000284</v>
      </c>
      <c r="M17" s="19">
        <f>IF(Tab_salesQ[[#This Row],[t]]&gt;2,SUMPRODUCT(Tab_salesQ[[#This Row],[X0]:[X4]],_xlfn.SORTBY(LINEST($C$3:C16,$G$3:J16,TRUE,FALSE),$Q$1:$U$1,1)),NA())</f>
        <v>100.16666666666666</v>
      </c>
      <c r="N17" s="2">
        <f>Tab_salesQ[[#This Row],[Y]]-Tab_salesQ[[#This Row],[Forecast]]</f>
        <v>0.83333333333334281</v>
      </c>
      <c r="P17" s="14" t="s">
        <v>31</v>
      </c>
      <c r="Q17" s="21" cm="1">
        <f t="array" ref="Q17">SQRT(SUMSQ(_xlfn._xlws.FILTER(Tab_salesQ[Error OS],Tab_salesQ[t]&gt;2))/(COUNT(Tab_salesQ[Error OS])-1))</f>
        <v>6.9934320684968618</v>
      </c>
    </row>
    <row r="18" spans="1:17" x14ac:dyDescent="0.35">
      <c r="A18" s="8">
        <v>16</v>
      </c>
      <c r="B18" s="16">
        <v>2014</v>
      </c>
      <c r="C18" s="16">
        <v>105</v>
      </c>
      <c r="D18" s="16" t="s">
        <v>9</v>
      </c>
      <c r="E18" s="16">
        <f>IF(Tab_salesQ[[#This Row],[Quarter]]="Q1",1,IF(Tab_salesQ[[#This Row],[Quarter]]="Q2",2,IF(Tab_salesQ[[#This Row],[Quarter]]="Q3",3,4)))</f>
        <v>4</v>
      </c>
      <c r="F18" s="16">
        <f>1</f>
        <v>1</v>
      </c>
      <c r="G18" s="16">
        <f>Tab_salesQ[[#This Row],[t]]</f>
        <v>16</v>
      </c>
      <c r="H18" s="16">
        <f>IF(Tab_salesQ[[#This Row],[Quarter]]="Q1",1,0)</f>
        <v>0</v>
      </c>
      <c r="I18" s="16">
        <f>IF(Tab_salesQ[[#This Row],[Quarter]]="Q2",1,0)</f>
        <v>0</v>
      </c>
      <c r="J18" s="16">
        <f>IF(Tab_salesQ[[#This Row],[Quarter]]="Q3",1,0)</f>
        <v>0</v>
      </c>
      <c r="K18" s="20">
        <f>SUMPRODUCT(Tab_salesQ[[#This Row],[X0]:[X4]],_xlfn.SORTBY($Q$3:$U$3,$Q$1:$U$1,1))</f>
        <v>104.9875</v>
      </c>
      <c r="L18" s="20">
        <f>Tab_salesQ[[#This Row],[Y]]-Tab_salesQ[[#This Row],[Y_hat]]</f>
        <v>1.2500000000002842E-2</v>
      </c>
      <c r="M18" s="20">
        <f>IF(Tab_salesQ[[#This Row],[t]]&gt;2,SUMPRODUCT(Tab_salesQ[[#This Row],[X0]:[X4]],_xlfn.SORTBY(LINEST($C$3:C17,$G$3:J17,TRUE,FALSE),$Q$1:$U$1,1)),NA())</f>
        <v>104.98039215686273</v>
      </c>
      <c r="N18" s="16">
        <f>Tab_salesQ[[#This Row],[Y]]-Tab_salesQ[[#This Row],[Forecast]]</f>
        <v>1.960784313726549E-2</v>
      </c>
    </row>
  </sheetData>
  <mergeCells count="1">
    <mergeCell ref="H1:J1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LInearForecastTrend</vt:lpstr>
      <vt:lpstr>LinearForecastTrendSeasonality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Maria Gambaro</cp:lastModifiedBy>
  <dcterms:created xsi:type="dcterms:W3CDTF">2015-06-05T18:17:20Z</dcterms:created>
  <dcterms:modified xsi:type="dcterms:W3CDTF">2025-12-03T11:17:39Z</dcterms:modified>
</cp:coreProperties>
</file>